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78E6055-A53B-4A84-BED4-7DFCA9F93D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-26" sheetId="1" r:id="rId1"/>
  </sheets>
  <calcPr calcId="191029"/>
</workbook>
</file>

<file path=xl/calcChain.xml><?xml version="1.0" encoding="utf-8"?>
<calcChain xmlns="http://schemas.openxmlformats.org/spreadsheetml/2006/main">
  <c r="P198" i="1" l="1"/>
  <c r="P205" i="1"/>
  <c r="Q205" i="1" s="1"/>
  <c r="Q207" i="1"/>
  <c r="Q208" i="1"/>
  <c r="Q209" i="1"/>
  <c r="P209" i="1"/>
  <c r="P50" i="1"/>
  <c r="Q50" i="1" s="1"/>
  <c r="P48" i="1"/>
  <c r="Q48" i="1" s="1"/>
  <c r="Q46" i="1"/>
  <c r="Q49" i="1"/>
  <c r="P47" i="1"/>
  <c r="Q47" i="1" s="1"/>
  <c r="Q17" i="1"/>
  <c r="P33" i="1"/>
  <c r="Q39" i="1"/>
  <c r="Q80" i="1"/>
  <c r="Q81" i="1"/>
  <c r="Q82" i="1"/>
  <c r="Q79" i="1"/>
  <c r="P206" i="1"/>
  <c r="Q206" i="1" s="1"/>
  <c r="Q257" i="1"/>
  <c r="Q253" i="1"/>
  <c r="Q252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48" i="1"/>
  <c r="Q249" i="1"/>
  <c r="Q228" i="1" l="1"/>
  <c r="Q229" i="1"/>
  <c r="Q230" i="1"/>
  <c r="Q231" i="1"/>
  <c r="Q232" i="1"/>
  <c r="Q233" i="1"/>
  <c r="Q224" i="1"/>
  <c r="Q225" i="1"/>
  <c r="Q226" i="1"/>
  <c r="Q219" i="1"/>
  <c r="Q220" i="1"/>
  <c r="Q221" i="1"/>
  <c r="Q211" i="1"/>
  <c r="Q212" i="1"/>
  <c r="Q213" i="1"/>
  <c r="Q214" i="1"/>
  <c r="Q215" i="1"/>
  <c r="Q216" i="1"/>
  <c r="Q194" i="1"/>
  <c r="Q195" i="1"/>
  <c r="Q196" i="1"/>
  <c r="Q197" i="1"/>
  <c r="Q181" i="1"/>
  <c r="Q182" i="1"/>
  <c r="Q183" i="1"/>
  <c r="Q146" i="1"/>
  <c r="Q147" i="1"/>
  <c r="Q148" i="1"/>
  <c r="Q149" i="1"/>
  <c r="Q142" i="1"/>
  <c r="Q143" i="1"/>
  <c r="Q144" i="1"/>
  <c r="Q132" i="1"/>
  <c r="Q133" i="1"/>
  <c r="Q134" i="1"/>
  <c r="Q123" i="1"/>
  <c r="Q90" i="1"/>
  <c r="Q91" i="1"/>
  <c r="Q92" i="1"/>
  <c r="Q93" i="1"/>
  <c r="Q94" i="1"/>
  <c r="Q95" i="1"/>
  <c r="Q96" i="1"/>
  <c r="Q97" i="1"/>
  <c r="Q98" i="1"/>
  <c r="Q99" i="1"/>
  <c r="Q100" i="1"/>
  <c r="Q86" i="1"/>
  <c r="Q87" i="1"/>
  <c r="Q88" i="1"/>
  <c r="Q85" i="1"/>
  <c r="Q77" i="1"/>
  <c r="Q72" i="1"/>
  <c r="Q73" i="1"/>
  <c r="Q74" i="1"/>
  <c r="Q75" i="1"/>
  <c r="Q198" i="1" l="1"/>
  <c r="O198" i="1"/>
  <c r="N198" i="1"/>
  <c r="M198" i="1"/>
  <c r="L198" i="1"/>
  <c r="K198" i="1"/>
  <c r="J198" i="1"/>
  <c r="I198" i="1"/>
  <c r="H198" i="1"/>
  <c r="G198" i="1"/>
  <c r="F198" i="1"/>
  <c r="E198" i="1"/>
  <c r="D198" i="1"/>
  <c r="N191" i="1" l="1"/>
  <c r="M191" i="1"/>
  <c r="I191" i="1"/>
  <c r="H191" i="1"/>
  <c r="F191" i="1"/>
  <c r="D191" i="1"/>
  <c r="P184" i="1"/>
  <c r="Q184" i="1" s="1"/>
  <c r="Q179" i="1"/>
  <c r="N178" i="1"/>
  <c r="M178" i="1"/>
  <c r="I178" i="1"/>
  <c r="H178" i="1"/>
  <c r="F178" i="1"/>
  <c r="D178" i="1"/>
  <c r="P177" i="1"/>
  <c r="N177" i="1"/>
  <c r="M177" i="1"/>
  <c r="I177" i="1"/>
  <c r="F177" i="1"/>
  <c r="D177" i="1"/>
  <c r="Q175" i="1"/>
  <c r="Q174" i="1"/>
  <c r="Q177" i="1" l="1"/>
  <c r="Q178" i="1"/>
  <c r="Q191" i="1"/>
  <c r="Q155" i="1"/>
  <c r="Q150" i="1"/>
  <c r="Q140" i="1"/>
  <c r="Q139" i="1"/>
  <c r="Q138" i="1"/>
  <c r="P137" i="1"/>
  <c r="Q137" i="1" s="1"/>
  <c r="Q136" i="1"/>
  <c r="Q129" i="1"/>
  <c r="Q128" i="1"/>
  <c r="Q127" i="1"/>
  <c r="Q126" i="1"/>
  <c r="P121" i="1" l="1"/>
  <c r="Q121" i="1" s="1"/>
  <c r="Q120" i="1"/>
  <c r="Q119" i="1"/>
  <c r="Q118" i="1"/>
  <c r="Q117" i="1"/>
  <c r="Q116" i="1"/>
  <c r="Q115" i="1"/>
  <c r="Q114" i="1"/>
  <c r="P113" i="1"/>
  <c r="Q113" i="1" s="1"/>
  <c r="Q112" i="1"/>
  <c r="Q27" i="1" l="1"/>
  <c r="Q28" i="1"/>
  <c r="Q43" i="1" l="1"/>
  <c r="Q42" i="1"/>
  <c r="Q31" i="1" l="1"/>
  <c r="Q30" i="1"/>
  <c r="P71" i="1" l="1"/>
  <c r="O71" i="1"/>
  <c r="N71" i="1"/>
  <c r="M71" i="1"/>
  <c r="L71" i="1"/>
  <c r="K71" i="1"/>
  <c r="J71" i="1"/>
  <c r="I71" i="1"/>
  <c r="H71" i="1"/>
  <c r="G71" i="1"/>
  <c r="F71" i="1"/>
  <c r="E71" i="1"/>
  <c r="D71" i="1"/>
  <c r="Q70" i="1"/>
  <c r="Q69" i="1"/>
  <c r="Q68" i="1"/>
  <c r="Q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D33" i="1"/>
  <c r="E33" i="1"/>
  <c r="F33" i="1"/>
  <c r="G33" i="1"/>
  <c r="H33" i="1"/>
  <c r="I33" i="1"/>
  <c r="J33" i="1"/>
  <c r="K33" i="1"/>
  <c r="L33" i="1"/>
  <c r="M33" i="1"/>
  <c r="N33" i="1"/>
  <c r="O33" i="1"/>
  <c r="P34" i="1"/>
  <c r="Q34" i="1" s="1"/>
  <c r="D35" i="1"/>
  <c r="E35" i="1"/>
  <c r="F35" i="1"/>
  <c r="G35" i="1"/>
  <c r="H35" i="1"/>
  <c r="I35" i="1"/>
  <c r="K35" i="1"/>
  <c r="L35" i="1"/>
  <c r="M35" i="1"/>
  <c r="N35" i="1"/>
  <c r="O35" i="1"/>
  <c r="P36" i="1"/>
  <c r="Q36" i="1" s="1"/>
  <c r="Q37" i="1"/>
  <c r="D38" i="1"/>
  <c r="Q38" i="1" s="1"/>
  <c r="Q71" i="1" l="1"/>
  <c r="Q35" i="1"/>
  <c r="Q32" i="1"/>
  <c r="Q33" i="1"/>
  <c r="Q65" i="1"/>
  <c r="Q66" i="1"/>
  <c r="Q25" i="1"/>
  <c r="Q24" i="1"/>
  <c r="Q22" i="1"/>
  <c r="Q16" i="1"/>
  <c r="Q15" i="1"/>
  <c r="Q14" i="1"/>
  <c r="Q13" i="1"/>
  <c r="Q12" i="1"/>
  <c r="Q11" i="1"/>
  <c r="Q10" i="1"/>
  <c r="Q8" i="1"/>
  <c r="E53" i="1" l="1"/>
  <c r="F53" i="1"/>
  <c r="G53" i="1"/>
  <c r="H53" i="1"/>
  <c r="I53" i="1"/>
  <c r="J53" i="1"/>
  <c r="K53" i="1"/>
  <c r="L53" i="1"/>
  <c r="M53" i="1"/>
  <c r="N53" i="1"/>
  <c r="O53" i="1"/>
  <c r="P53" i="1"/>
  <c r="D53" i="1"/>
  <c r="C262" i="1"/>
  <c r="Q262" i="1"/>
  <c r="Q263" i="1"/>
  <c r="Q264" i="1"/>
  <c r="Q265" i="1"/>
  <c r="Q266" i="1"/>
  <c r="Q267" i="1"/>
  <c r="Q268" i="1"/>
  <c r="Q269" i="1"/>
  <c r="C26" i="1" l="1"/>
  <c r="C29" i="1"/>
  <c r="Q256" i="1"/>
  <c r="C251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Q246" i="1"/>
  <c r="Q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Q243" i="1"/>
  <c r="Q242" i="1"/>
  <c r="Q241" i="1"/>
  <c r="Q240" i="1"/>
  <c r="Q239" i="1"/>
  <c r="E236" i="1"/>
  <c r="Q237" i="1"/>
  <c r="P236" i="1"/>
  <c r="O236" i="1"/>
  <c r="N236" i="1"/>
  <c r="M236" i="1"/>
  <c r="L236" i="1"/>
  <c r="K236" i="1"/>
  <c r="J236" i="1"/>
  <c r="I236" i="1"/>
  <c r="H236" i="1"/>
  <c r="G236" i="1"/>
  <c r="F236" i="1"/>
  <c r="D236" i="1"/>
  <c r="C236" i="1"/>
  <c r="Q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O218" i="1"/>
  <c r="N218" i="1"/>
  <c r="M218" i="1"/>
  <c r="L218" i="1"/>
  <c r="K218" i="1"/>
  <c r="I218" i="1"/>
  <c r="H218" i="1"/>
  <c r="G218" i="1"/>
  <c r="E218" i="1"/>
  <c r="D218" i="1"/>
  <c r="P218" i="1"/>
  <c r="J218" i="1"/>
  <c r="F218" i="1"/>
  <c r="C218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C204" i="1"/>
  <c r="C198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C188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C156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C145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C135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C131" i="1"/>
  <c r="Q130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L111" i="1"/>
  <c r="K111" i="1"/>
  <c r="D111" i="1"/>
  <c r="O111" i="1"/>
  <c r="N111" i="1"/>
  <c r="M111" i="1"/>
  <c r="J111" i="1"/>
  <c r="I111" i="1"/>
  <c r="H111" i="1"/>
  <c r="G111" i="1"/>
  <c r="F111" i="1"/>
  <c r="E111" i="1"/>
  <c r="C111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P89" i="1"/>
  <c r="O89" i="1"/>
  <c r="N89" i="1"/>
  <c r="M89" i="1"/>
  <c r="L89" i="1"/>
  <c r="K89" i="1"/>
  <c r="J89" i="1"/>
  <c r="I89" i="1"/>
  <c r="H89" i="1"/>
  <c r="G89" i="1"/>
  <c r="F89" i="1"/>
  <c r="E89" i="1"/>
  <c r="C89" i="1"/>
  <c r="P84" i="1"/>
  <c r="O84" i="1"/>
  <c r="N84" i="1"/>
  <c r="M84" i="1"/>
  <c r="L84" i="1"/>
  <c r="K84" i="1"/>
  <c r="J84" i="1"/>
  <c r="I84" i="1"/>
  <c r="H84" i="1"/>
  <c r="G84" i="1"/>
  <c r="F84" i="1"/>
  <c r="E84" i="1"/>
  <c r="C84" i="1"/>
  <c r="P78" i="1"/>
  <c r="O78" i="1"/>
  <c r="N78" i="1"/>
  <c r="M78" i="1"/>
  <c r="M76" i="1" s="1"/>
  <c r="L78" i="1"/>
  <c r="L76" i="1" s="1"/>
  <c r="K78" i="1"/>
  <c r="J78" i="1"/>
  <c r="I78" i="1"/>
  <c r="H78" i="1"/>
  <c r="G78" i="1"/>
  <c r="F78" i="1"/>
  <c r="E78" i="1"/>
  <c r="E76" i="1" s="1"/>
  <c r="C78" i="1"/>
  <c r="P64" i="1"/>
  <c r="O64" i="1"/>
  <c r="N64" i="1"/>
  <c r="M64" i="1"/>
  <c r="L64" i="1"/>
  <c r="K64" i="1"/>
  <c r="J64" i="1"/>
  <c r="I64" i="1"/>
  <c r="H64" i="1"/>
  <c r="G64" i="1"/>
  <c r="F64" i="1"/>
  <c r="E64" i="1"/>
  <c r="C64" i="1"/>
  <c r="Q63" i="1"/>
  <c r="C53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P41" i="1"/>
  <c r="O41" i="1"/>
  <c r="N41" i="1"/>
  <c r="M41" i="1"/>
  <c r="L41" i="1"/>
  <c r="K41" i="1"/>
  <c r="J41" i="1"/>
  <c r="I41" i="1"/>
  <c r="H41" i="1"/>
  <c r="G41" i="1"/>
  <c r="F41" i="1"/>
  <c r="E41" i="1"/>
  <c r="C41" i="1"/>
  <c r="O29" i="1"/>
  <c r="M29" i="1"/>
  <c r="K29" i="1"/>
  <c r="G29" i="1"/>
  <c r="P29" i="1"/>
  <c r="N29" i="1"/>
  <c r="L29" i="1"/>
  <c r="J29" i="1"/>
  <c r="H29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Q45" i="1" l="1"/>
  <c r="H110" i="1"/>
  <c r="I76" i="1"/>
  <c r="F110" i="1"/>
  <c r="J110" i="1"/>
  <c r="Q53" i="1"/>
  <c r="C192" i="1"/>
  <c r="K192" i="1"/>
  <c r="O192" i="1"/>
  <c r="M110" i="1"/>
  <c r="I160" i="1"/>
  <c r="H76" i="1"/>
  <c r="P76" i="1"/>
  <c r="N110" i="1"/>
  <c r="H192" i="1"/>
  <c r="L192" i="1"/>
  <c r="F192" i="1"/>
  <c r="J192" i="1"/>
  <c r="F29" i="1"/>
  <c r="F6" i="1" s="1"/>
  <c r="O110" i="1"/>
  <c r="K110" i="1"/>
  <c r="E29" i="1"/>
  <c r="I29" i="1"/>
  <c r="E160" i="1"/>
  <c r="M160" i="1"/>
  <c r="Q165" i="1"/>
  <c r="Q193" i="1"/>
  <c r="M192" i="1"/>
  <c r="P192" i="1"/>
  <c r="N192" i="1"/>
  <c r="Q223" i="1"/>
  <c r="Q236" i="1"/>
  <c r="Q122" i="1"/>
  <c r="C6" i="1"/>
  <c r="I192" i="1"/>
  <c r="Q218" i="1"/>
  <c r="Q7" i="1"/>
  <c r="H6" i="1"/>
  <c r="L6" i="1"/>
  <c r="P6" i="1"/>
  <c r="C76" i="1"/>
  <c r="D78" i="1"/>
  <c r="Q78" i="1" s="1"/>
  <c r="D84" i="1"/>
  <c r="Q84" i="1" s="1"/>
  <c r="Q102" i="1"/>
  <c r="C110" i="1"/>
  <c r="G110" i="1"/>
  <c r="L110" i="1"/>
  <c r="Q125" i="1"/>
  <c r="D135" i="1"/>
  <c r="Q135" i="1" s="1"/>
  <c r="Q141" i="1"/>
  <c r="D145" i="1"/>
  <c r="Q145" i="1" s="1"/>
  <c r="Q161" i="1"/>
  <c r="H160" i="1"/>
  <c r="L160" i="1"/>
  <c r="P160" i="1"/>
  <c r="Q180" i="1"/>
  <c r="Q210" i="1"/>
  <c r="M6" i="1"/>
  <c r="K6" i="1"/>
  <c r="G76" i="1"/>
  <c r="K76" i="1"/>
  <c r="O76" i="1"/>
  <c r="D131" i="1"/>
  <c r="Q131" i="1" s="1"/>
  <c r="Q152" i="1"/>
  <c r="Q176" i="1"/>
  <c r="Q186" i="1"/>
  <c r="G192" i="1"/>
  <c r="Q244" i="1"/>
  <c r="Q247" i="1"/>
  <c r="E6" i="1"/>
  <c r="I6" i="1"/>
  <c r="Q26" i="1"/>
  <c r="D29" i="1"/>
  <c r="G6" i="1"/>
  <c r="O6" i="1"/>
  <c r="D64" i="1"/>
  <c r="Q64" i="1" s="1"/>
  <c r="J6" i="1"/>
  <c r="N6" i="1"/>
  <c r="D89" i="1"/>
  <c r="Q89" i="1" s="1"/>
  <c r="F76" i="1"/>
  <c r="J76" i="1"/>
  <c r="N76" i="1"/>
  <c r="I110" i="1"/>
  <c r="F160" i="1"/>
  <c r="J160" i="1"/>
  <c r="N160" i="1"/>
  <c r="Q173" i="1"/>
  <c r="C160" i="1"/>
  <c r="G160" i="1"/>
  <c r="K160" i="1"/>
  <c r="O160" i="1"/>
  <c r="Q227" i="1"/>
  <c r="Q234" i="1"/>
  <c r="P111" i="1"/>
  <c r="P110" i="1" s="1"/>
  <c r="D160" i="1"/>
  <c r="E192" i="1"/>
  <c r="D204" i="1"/>
  <c r="Q238" i="1"/>
  <c r="Q251" i="1"/>
  <c r="D41" i="1"/>
  <c r="Q41" i="1" s="1"/>
  <c r="E110" i="1"/>
  <c r="M5" i="1" l="1"/>
  <c r="M270" i="1" s="1"/>
  <c r="Q29" i="1"/>
  <c r="P5" i="1"/>
  <c r="P270" i="1" s="1"/>
  <c r="E5" i="1"/>
  <c r="E270" i="1" s="1"/>
  <c r="H5" i="1"/>
  <c r="H270" i="1" s="1"/>
  <c r="D110" i="1"/>
  <c r="Q110" i="1" s="1"/>
  <c r="C5" i="1"/>
  <c r="C270" i="1" s="1"/>
  <c r="N5" i="1"/>
  <c r="N270" i="1" s="1"/>
  <c r="Q160" i="1"/>
  <c r="D76" i="1"/>
  <c r="Q76" i="1" s="1"/>
  <c r="F5" i="1"/>
  <c r="F270" i="1" s="1"/>
  <c r="G5" i="1"/>
  <c r="G270" i="1" s="1"/>
  <c r="K5" i="1"/>
  <c r="K270" i="1" s="1"/>
  <c r="L5" i="1"/>
  <c r="L270" i="1" s="1"/>
  <c r="Q111" i="1"/>
  <c r="J5" i="1"/>
  <c r="J270" i="1" s="1"/>
  <c r="O5" i="1"/>
  <c r="O270" i="1" s="1"/>
  <c r="I5" i="1"/>
  <c r="I270" i="1" s="1"/>
  <c r="Q204" i="1"/>
  <c r="D192" i="1"/>
  <c r="Q192" i="1" s="1"/>
  <c r="D6" i="1"/>
  <c r="D5" i="1" l="1"/>
  <c r="Q6" i="1"/>
  <c r="D270" i="1" l="1"/>
  <c r="Q270" i="1" s="1"/>
  <c r="Q5" i="1"/>
</calcChain>
</file>

<file path=xl/sharedStrings.xml><?xml version="1.0" encoding="utf-8"?>
<sst xmlns="http://schemas.openxmlformats.org/spreadsheetml/2006/main" count="290" uniqueCount="258">
  <si>
    <t>FMR Code</t>
  </si>
  <si>
    <t>Financial Progress</t>
  </si>
  <si>
    <t>Dimapur</t>
  </si>
  <si>
    <t>Kiphire</t>
  </si>
  <si>
    <t>Kohima</t>
  </si>
  <si>
    <t>Longleng</t>
  </si>
  <si>
    <t>Mon</t>
  </si>
  <si>
    <t>Mokokchung</t>
  </si>
  <si>
    <t>Noklak</t>
  </si>
  <si>
    <t>Peren</t>
  </si>
  <si>
    <t>Phek</t>
  </si>
  <si>
    <t>Tuensang</t>
  </si>
  <si>
    <t>Wokha</t>
  </si>
  <si>
    <t>Zunheboto</t>
  </si>
  <si>
    <t>State</t>
  </si>
  <si>
    <t>Total</t>
  </si>
  <si>
    <t>I</t>
  </si>
  <si>
    <t>Flexible Pool for RCH &amp; Health Sysytem Strengthening, National Health programme and National Urban Health Mission</t>
  </si>
  <si>
    <t>RCH</t>
  </si>
  <si>
    <t>RCH (including RI, IPPI, NIDDCP)</t>
  </si>
  <si>
    <t>Maternal Health (excluding Planning &amp; M&amp;E)</t>
  </si>
  <si>
    <t>Village Health &amp; Nutrition Day (VHND)</t>
  </si>
  <si>
    <t>Pregnancy Registration and Ante-Natal Checkups</t>
  </si>
  <si>
    <t>Janani Suraksha Yojana (JSY)</t>
  </si>
  <si>
    <t>Janani Shishu Suraksha Karyakram (JSSK) (excluding transport)</t>
  </si>
  <si>
    <t>Janani Shishu Suraksha Karyakram (JSSK) - transport</t>
  </si>
  <si>
    <t>Pradhan Mantri Surakshit Matritva Abhiyan (PMSMA)</t>
  </si>
  <si>
    <t>Surakshit Matritva Aashwasan (SUMAN)</t>
  </si>
  <si>
    <t>Midwifery</t>
  </si>
  <si>
    <t>Maternal Death Review</t>
  </si>
  <si>
    <t>Comprehensive Abortion Care</t>
  </si>
  <si>
    <t>MCH wings</t>
  </si>
  <si>
    <t>FRUs</t>
  </si>
  <si>
    <t>HDU/ICU - Maternal Health</t>
  </si>
  <si>
    <t>Labour Rooms (LDR + NBCCs)</t>
  </si>
  <si>
    <t>LaQshya</t>
  </si>
  <si>
    <t>Implementation of RCH Portal/ANMOL/MCTS</t>
  </si>
  <si>
    <t>Other MH Components</t>
  </si>
  <si>
    <t>State specific Initiatives and Innovations</t>
  </si>
  <si>
    <t>PC &amp; PNDT Act (excluding Planning &amp; M&amp;E)</t>
  </si>
  <si>
    <t>PC &amp; PNDT Act</t>
  </si>
  <si>
    <t>Gender Based Violence &amp; Medico Legal Care For Survivors Victims of Sexual Violence</t>
  </si>
  <si>
    <t>Child Health (excluding Planning &amp; M&amp;E)</t>
  </si>
  <si>
    <t>Rashtriya Bal Swasthya Karyakram (RBSK)</t>
  </si>
  <si>
    <t>RBSK at Facility Level including District Early Intervention Centers (DEIC)</t>
  </si>
  <si>
    <t>Community Based Care - HBNC &amp; HBYC</t>
  </si>
  <si>
    <t>Facility Based New born Care</t>
  </si>
  <si>
    <t>Child Death Review</t>
  </si>
  <si>
    <t>SAANS</t>
  </si>
  <si>
    <t xml:space="preserve">Paediatric Care </t>
  </si>
  <si>
    <t>Other Child Health Components</t>
  </si>
  <si>
    <t>Immunization (excluding Planning &amp; M&amp;E)</t>
  </si>
  <si>
    <t>Immunization including Mission Indradhanush</t>
  </si>
  <si>
    <t>Pulse polio Campaign</t>
  </si>
  <si>
    <t>eVIN Operational Cost</t>
  </si>
  <si>
    <t>Adolescent Health (excluding Planning &amp; M&amp;E)</t>
  </si>
  <si>
    <t>Adolescent Friendly Health Clinics</t>
  </si>
  <si>
    <t>Weekly Iron Folic Supplement (WIFS)</t>
  </si>
  <si>
    <t>Menstrual Hygiene Scheme (MHS)</t>
  </si>
  <si>
    <t>Peer Educator Programme</t>
  </si>
  <si>
    <t>School Health And Wellness Program under Ayushman Bharat</t>
  </si>
  <si>
    <t>Other Adolescent Health Components</t>
  </si>
  <si>
    <t>Family Planning (excluding Planning &amp; M&amp;E)</t>
  </si>
  <si>
    <t>Sterilization - Female</t>
  </si>
  <si>
    <t>Sterilization - Male</t>
  </si>
  <si>
    <t>IUCD Insertion (PPIUCD and PAIUCD)</t>
  </si>
  <si>
    <t>ANTARA</t>
  </si>
  <si>
    <t>MPV(Mission Parivar Vikas)</t>
  </si>
  <si>
    <t>Family Planning Indemnity Scheme</t>
  </si>
  <si>
    <t>FPLMIS</t>
  </si>
  <si>
    <t>World Population Day and Vasectomy fortnight</t>
  </si>
  <si>
    <t>Other Family Planning Components</t>
  </si>
  <si>
    <t>Nutrition (excluding Planning &amp; M&amp;E)</t>
  </si>
  <si>
    <t>Anaemia Mukt Bharat</t>
  </si>
  <si>
    <t>National Deworming Day</t>
  </si>
  <si>
    <t>Nutritional Rehabilitation Centers (NRC)</t>
  </si>
  <si>
    <t>Vitamin A Supplementation</t>
  </si>
  <si>
    <t>Mother's Absolute Affection (MAA)</t>
  </si>
  <si>
    <t>Lactation Management Centers</t>
  </si>
  <si>
    <t>Intensified Diarrhoea Control Fortnight</t>
  </si>
  <si>
    <t>Eat Right Campaign</t>
  </si>
  <si>
    <t>Other Nutrition Components</t>
  </si>
  <si>
    <t>Implementation of National Iodine Deficiency Disorders Control Programme (NIDDCP) (excluding Planning &amp; M&amp;E)</t>
  </si>
  <si>
    <t>NDCP</t>
  </si>
  <si>
    <t>National Disease Control Programmes (NDCP)</t>
  </si>
  <si>
    <t>Implementation of Integrated Disease Surveillance Programme (IDSP) (excluding Planning &amp; M&amp;E)</t>
  </si>
  <si>
    <t>National Vector Borne Disease Control Programme (NVBDCP) (excluding Planning &amp; M&amp;E)</t>
  </si>
  <si>
    <t>Malaria</t>
  </si>
  <si>
    <t>Kala-azar</t>
  </si>
  <si>
    <t>AES/JE</t>
  </si>
  <si>
    <t>Dengue &amp; Chikungunya</t>
  </si>
  <si>
    <t>Lymphatic Filariasis</t>
  </si>
  <si>
    <t>National Leprosy Eradication Programme (NLEP) (excluding Planning &amp; M&amp;E)</t>
  </si>
  <si>
    <t>Case detection and Management</t>
  </si>
  <si>
    <t>DPMR Services: Reconstructive surgeries</t>
  </si>
  <si>
    <t>District Awards</t>
  </si>
  <si>
    <t>Other NLEP Components</t>
  </si>
  <si>
    <t>National Tuberculosis Elimination Programme (NTEP) (excluding Planning &amp; M&amp;E)</t>
  </si>
  <si>
    <t>Drug Sensitive TB (DSTB)</t>
  </si>
  <si>
    <t>Treatment Supporter Honorarium (Rs 1000)</t>
  </si>
  <si>
    <t>Treatment Supporter Honorarium (Rs 5000)</t>
  </si>
  <si>
    <t>Incentive for Informants (Rs 500)</t>
  </si>
  <si>
    <t>Nikshay Poshan Yojana</t>
  </si>
  <si>
    <t>PPP</t>
  </si>
  <si>
    <t>Private Provider Incentive</t>
  </si>
  <si>
    <t>Latent TB Infection (LTBI)</t>
  </si>
  <si>
    <t>Drug Resistant TB(DRTB)</t>
  </si>
  <si>
    <t>TB Harega Desh Jeetega Campaign</t>
  </si>
  <si>
    <t>Tribal Patient Support and transportation charges</t>
  </si>
  <si>
    <t>National Viral Hepatitis Control Programme (NVHCP) (excluding Planning &amp; M&amp;E)</t>
  </si>
  <si>
    <t>Prevention</t>
  </si>
  <si>
    <t>Screening and Testing through facilities</t>
  </si>
  <si>
    <t>Screening and Testing through NGOs</t>
  </si>
  <si>
    <t>Treatment</t>
  </si>
  <si>
    <t>Implementation of National Rabies Control Programme (NRCP) (excluding Planning &amp; M&amp;E)</t>
  </si>
  <si>
    <t>Implementation of Programme for Prevention and Control of Leptospirosis (PPCL) (excluding Planning &amp; M&amp;E)</t>
  </si>
  <si>
    <t>Implementation of State specific Initiatives and Innovations (excluding Planning &amp; M&amp;E)</t>
  </si>
  <si>
    <t>NCD</t>
  </si>
  <si>
    <t>Non-Communicable Disease Control Programme (NCD)</t>
  </si>
  <si>
    <t>National Program for Control of Blindness and Vision Impairment (NPCB+VI) (excluding Planning &amp; M&amp;E)</t>
  </si>
  <si>
    <t>Cataract Surgeries through facilities</t>
  </si>
  <si>
    <t>Cataract Surgeries through NGOs</t>
  </si>
  <si>
    <t>Other Ophthalmic Interventions through facilities</t>
  </si>
  <si>
    <t>Other Ophthalmic Interventions through NGOs</t>
  </si>
  <si>
    <t>Mobile Ophthalmic Units</t>
  </si>
  <si>
    <t>Collection of eye balls by eye banks and eye donation centres</t>
  </si>
  <si>
    <t>Free spectacles to school children</t>
  </si>
  <si>
    <t>Free spectacles to others</t>
  </si>
  <si>
    <t>Grant in Aid for the health institutions, Eye Bank, NGO, Private Practioners</t>
  </si>
  <si>
    <t>Other NPCB+VI components</t>
  </si>
  <si>
    <t>National Mental Health Program (NMHP) (excluding Planning &amp; M&amp;E)</t>
  </si>
  <si>
    <t>Implementation of District Mental Health Plan</t>
  </si>
  <si>
    <t>National Programme for Health Care for the Elderly (NPHCE) (excluding Planning &amp; M&amp;E)</t>
  </si>
  <si>
    <t>Geriatric Care at DH</t>
  </si>
  <si>
    <t>Geriatric Care at CHC/SDH</t>
  </si>
  <si>
    <t>Geriatric Care at PHC/ SHC</t>
  </si>
  <si>
    <t xml:space="preserve">Community Based Intervention </t>
  </si>
  <si>
    <t>National Tobacco Control Programme (NTCP) (excluding Planning &amp; M&amp;E)</t>
  </si>
  <si>
    <t xml:space="preserve">Implementation of COTPA - 2003 </t>
  </si>
  <si>
    <t xml:space="preserve">Implementation of ToEFI guideline </t>
  </si>
  <si>
    <t>Tobacco Cessation</t>
  </si>
  <si>
    <t>National Programme for Prevention and Control of Diabetes, Cardiovascular Disease and Stroke (NPCDCS) (excluding Planning &amp; M&amp;E)</t>
  </si>
  <si>
    <t>NCD Clinics at DH</t>
  </si>
  <si>
    <t>NCD Clinics at CHC/SDH</t>
  </si>
  <si>
    <t>Cardiac Care Unit (CCU/ICU) including STEMI</t>
  </si>
  <si>
    <t>Other NPCDCS Components</t>
  </si>
  <si>
    <t>Pradhan Mantri National Dialysis Programme (PMNDP) (excluding Planning &amp; M&amp;E)</t>
  </si>
  <si>
    <t>Haemodialysis Services</t>
  </si>
  <si>
    <t>Peritoneal Dialysis Services</t>
  </si>
  <si>
    <t>Implementation of National Program for Climate Change and Human Health (NPCCHH)</t>
  </si>
  <si>
    <t>National Oral Health Programme (NOHP) (excluding Planning &amp; M&amp;E)</t>
  </si>
  <si>
    <t>Implementation at DH</t>
  </si>
  <si>
    <t>Implementation at CHC/SDH</t>
  </si>
  <si>
    <t>Mobile Dental Units/Van</t>
  </si>
  <si>
    <t>Implementation of National Programme on Palliative Care (NPPC) (excluding Planning &amp; M&amp;E)</t>
  </si>
  <si>
    <t>Implementation of National Programme for Prevention and Control of Fluorosis (NPPCF)</t>
  </si>
  <si>
    <t>National Programme for Prevention and Control of Deafness (NPPCD) (excluding Planning &amp; M&amp;E)</t>
  </si>
  <si>
    <t>Screening of Deafness</t>
  </si>
  <si>
    <t>Management of Deafness</t>
  </si>
  <si>
    <t>State Specific Initiatives</t>
  </si>
  <si>
    <t>National programme for Prevention and Management of Burn &amp; Injuries (excluding Planning &amp; M&amp;E)</t>
  </si>
  <si>
    <t>Support for Burn Units</t>
  </si>
  <si>
    <t>Support for Emergency Trauma Care</t>
  </si>
  <si>
    <t>Implementation of State specific Initiatives and Innovations</t>
  </si>
  <si>
    <t>HSS(U)</t>
  </si>
  <si>
    <t>Health System Strengthening (HSS) - Urban</t>
  </si>
  <si>
    <t>Comprehensive Primary Healthcare (CPHC) (excluding Planning &amp; M&amp;E)</t>
  </si>
  <si>
    <t>Development and operations of Health &amp; Wellness Centers - Urban</t>
  </si>
  <si>
    <t>Wellness activities at HWCs- Urban</t>
  </si>
  <si>
    <t>Teleconsultation facilities at HWCs-Urban</t>
  </si>
  <si>
    <t>Community Engagement (excluding Planning &amp; M&amp;E)</t>
  </si>
  <si>
    <t>ASHA (including ASHA Certification and ASHA benefit package)</t>
  </si>
  <si>
    <t>MAS</t>
  </si>
  <si>
    <t>JAS</t>
  </si>
  <si>
    <t>RKS</t>
  </si>
  <si>
    <t>Outreach activities</t>
  </si>
  <si>
    <t>Mapping of slums and vulnerable population</t>
  </si>
  <si>
    <t>Other Community Engagement Components</t>
  </si>
  <si>
    <t>Public Health Institutions as per IPHS norms (excluding Planning &amp; M&amp;E)</t>
  </si>
  <si>
    <t>Urban PHCs</t>
  </si>
  <si>
    <t>Urban CHCs and Maternity Homes</t>
  </si>
  <si>
    <t>Quality Assurance (excluding Planning &amp; M&amp;E)</t>
  </si>
  <si>
    <t>Quality Assurance Implementation &amp; Mera Aspataal</t>
  </si>
  <si>
    <t>Kayakalp</t>
  </si>
  <si>
    <t>Swacch Swasth Sarvatra</t>
  </si>
  <si>
    <t>Human Resources for Health</t>
  </si>
  <si>
    <t>Remuneration for all NHM HR- SD</t>
  </si>
  <si>
    <t>Remuneration for all NHM HR- PM</t>
  </si>
  <si>
    <t>Incentives (Allowance, Incentives, staff welfare fund)</t>
  </si>
  <si>
    <t>Incentives under CPHC</t>
  </si>
  <si>
    <t>Costs for HR Recruitment and Outsourcing</t>
  </si>
  <si>
    <t>Program and Technical Assistance</t>
  </si>
  <si>
    <t xml:space="preserve">Planning and Program Management </t>
  </si>
  <si>
    <t>Access (excluding Planning &amp; M&amp;E)</t>
  </si>
  <si>
    <t>State specific Programme Innovations and Interventions</t>
  </si>
  <si>
    <t>Untied Fund</t>
  </si>
  <si>
    <t xml:space="preserve">HSS(R) </t>
  </si>
  <si>
    <t>Health System Strengthening (HSS) Rural</t>
  </si>
  <si>
    <t>Development and operations of Health &amp; Wellness Centers - Rural</t>
  </si>
  <si>
    <t>Wellness activities at HWCs- Rural</t>
  </si>
  <si>
    <t>Teleconsultation facilities at HWCs-Rural</t>
  </si>
  <si>
    <t>CHO Mentoring</t>
  </si>
  <si>
    <t>Blood Services &amp; Disorders (excluding Planning &amp; M&amp;E)</t>
  </si>
  <si>
    <t>Screening for Blood Disorders</t>
  </si>
  <si>
    <t>Support for Blood Transfusion</t>
  </si>
  <si>
    <t xml:space="preserve">Blood Bank/BCSU/BSU/Thalassemia Day Care Centre </t>
  </si>
  <si>
    <t>Blood collection and Transport Vans</t>
  </si>
  <si>
    <t>Other  Blood Services &amp; Disorders Components</t>
  </si>
  <si>
    <t>VHSNC</t>
  </si>
  <si>
    <t>Other Community Engagements Components</t>
  </si>
  <si>
    <t>District Hospitals</t>
  </si>
  <si>
    <t>Sub-District Hospitals</t>
  </si>
  <si>
    <t>Community Health Centers</t>
  </si>
  <si>
    <t>Primary Health Centers</t>
  </si>
  <si>
    <t>Sub-Health Centers</t>
  </si>
  <si>
    <t>Other Infrastructure/Civil works/expansion etc.</t>
  </si>
  <si>
    <t>Renovation/Repair/Upgradation of facilities for IPHS/NQAS/MUSQAN/SUMAN Compliance</t>
  </si>
  <si>
    <t>Referral Transport (excluding Planning &amp; M&amp;E)</t>
  </si>
  <si>
    <t>Advance Life Saving Ambulances</t>
  </si>
  <si>
    <t>Basic Life Saving Ambulances</t>
  </si>
  <si>
    <t>Patient Transport Vehicle</t>
  </si>
  <si>
    <t>Other Ambulances</t>
  </si>
  <si>
    <t>Other Initiatives to improve access (excluding Planning &amp; M&amp;E)</t>
  </si>
  <si>
    <t>Comprehensive Grievance Redressal Mechanism</t>
  </si>
  <si>
    <t>Free Drugs Services Initiative</t>
  </si>
  <si>
    <t>Free Diagnostics Services Initiative</t>
  </si>
  <si>
    <t>Mobile Medical Units</t>
  </si>
  <si>
    <t>State specific Programme Interventions and Innovations</t>
  </si>
  <si>
    <t>Inventory Management (excluding Planning &amp; M&amp;E)</t>
  </si>
  <si>
    <t>Biomedical Equipment Management System and AERB</t>
  </si>
  <si>
    <t>Incentives(Allowance, Incentives, staff welfare fund)</t>
  </si>
  <si>
    <t>Remuneration for CHOs</t>
  </si>
  <si>
    <t>Human Resource Information Systems (HRIS)</t>
  </si>
  <si>
    <t>Enhancing HR (excluding Planning &amp; M&amp;E)</t>
  </si>
  <si>
    <t>DNB/CPS courses for Medical doctors</t>
  </si>
  <si>
    <t>Training Institutes and Skill Labs</t>
  </si>
  <si>
    <t>SHSRC / ILC (Innovation &amp; Learning Centre)</t>
  </si>
  <si>
    <t>Planning &amp; M&amp;E under other heads</t>
  </si>
  <si>
    <t>IT Interventions and Systems (excluding Planning &amp; M&amp;E)</t>
  </si>
  <si>
    <t>Health Management Information System (HMIS)</t>
  </si>
  <si>
    <t>Implementation of DVDMS</t>
  </si>
  <si>
    <t>eSanjeevani (OPD+HWC)</t>
  </si>
  <si>
    <t>II</t>
  </si>
  <si>
    <t>Infrastructure Maintenance</t>
  </si>
  <si>
    <t>Direction &amp; Administration</t>
  </si>
  <si>
    <t>Sub-Centres</t>
  </si>
  <si>
    <t>Urban Family Welfare Centres (UFWCs)</t>
  </si>
  <si>
    <t>Urban Revamping Scheme (Health Posts)</t>
  </si>
  <si>
    <t>Basic Training for ANM/LHVs</t>
  </si>
  <si>
    <t>Maintenance and Strengthening of Health &amp; FW Training Centres (HFWTCs)</t>
  </si>
  <si>
    <t>Basic Training for MPWs (Male)</t>
  </si>
  <si>
    <t>Grand Total</t>
  </si>
  <si>
    <t xml:space="preserve"> Finance Consultant/Accounts Manager</t>
  </si>
  <si>
    <t>State Programme/Nodal Officer</t>
  </si>
  <si>
    <t>State specific intervention programmes</t>
  </si>
  <si>
    <t>NAGALAND: District RoP FY 2025-26 for NHM Website &amp; PMs Portal</t>
  </si>
  <si>
    <t>Budget Allotted as per ROP 2025-26</t>
  </si>
  <si>
    <t>Districtwise &amp; State Bifurcation of Approvals as per ROP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</si>
</sst>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0.000"/>
    <numFmt numFmtId="166" formatCode="_ * #,##0.00000_ ;_ * \-#,##0.000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Times New Roman"/>
      <family val="1"/>
    </font>
    <font>
      <sz val="1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B4C6E7"/>
      </patternFill>
    </fill>
    <fill>
      <patternFill patternType="solid">
        <fgColor theme="0" tint="-0.14999847407452621"/>
        <bgColor rgb="FFB4C6E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rgb="FFFFFF00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3" tint="0.79998168889431442"/>
        <bgColor rgb="FFB4C6E7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B4C6E7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164" fontId="3" fillId="3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4" applyNumberFormat="1" applyFont="1" applyFill="1" applyBorder="1" applyAlignment="1">
      <alignment horizontal="right" vertical="center" wrapText="1"/>
    </xf>
    <xf numFmtId="2" fontId="2" fillId="2" borderId="1" xfId="4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164" fontId="2" fillId="7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3" fillId="8" borderId="1" xfId="0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164" fontId="2" fillId="6" borderId="1" xfId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3" applyFont="1" applyFill="1" applyBorder="1" applyAlignment="1">
      <alignment horizontal="center" vertical="center" wrapText="1"/>
    </xf>
    <xf numFmtId="0" fontId="3" fillId="12" borderId="0" xfId="0" applyFont="1" applyFill="1" applyAlignment="1">
      <alignment vertical="center"/>
    </xf>
    <xf numFmtId="2" fontId="2" fillId="2" borderId="1" xfId="4" applyNumberFormat="1" applyFont="1" applyFill="1" applyBorder="1" applyAlignment="1">
      <alignment vertical="center" wrapText="1"/>
    </xf>
    <xf numFmtId="164" fontId="3" fillId="0" borderId="1" xfId="1" applyFont="1" applyFill="1" applyBorder="1" applyAlignment="1">
      <alignment vertical="center"/>
    </xf>
    <xf numFmtId="0" fontId="2" fillId="13" borderId="1" xfId="3" applyFont="1" applyFill="1" applyBorder="1" applyAlignment="1">
      <alignment horizontal="center" vertical="center" wrapText="1"/>
    </xf>
    <xf numFmtId="0" fontId="2" fillId="13" borderId="1" xfId="3" applyFont="1" applyFill="1" applyBorder="1" applyAlignment="1">
      <alignment horizontal="left" vertical="center" wrapText="1"/>
    </xf>
    <xf numFmtId="2" fontId="2" fillId="1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10" fillId="0" borderId="0" xfId="5" applyFont="1" applyFill="1" applyAlignment="1" applyProtection="1">
      <alignment horizontal="left"/>
      <protection locked="0"/>
    </xf>
    <xf numFmtId="43" fontId="10" fillId="0" borderId="0" xfId="5" applyFont="1" applyFill="1" applyAlignment="1" applyProtection="1">
      <alignment vertical="center"/>
      <protection locked="0"/>
    </xf>
    <xf numFmtId="0" fontId="11" fillId="0" borderId="0" xfId="6" applyFont="1" applyAlignment="1" applyProtection="1">
      <alignment vertical="center"/>
      <protection locked="0"/>
    </xf>
    <xf numFmtId="4" fontId="6" fillId="6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4" fontId="6" fillId="7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2" fontId="7" fillId="6" borderId="1" xfId="0" applyNumberFormat="1" applyFont="1" applyFill="1" applyBorder="1" applyAlignment="1">
      <alignment vertical="center" wrapText="1"/>
    </xf>
    <xf numFmtId="4" fontId="9" fillId="7" borderId="1" xfId="0" applyNumberFormat="1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164" fontId="2" fillId="12" borderId="1" xfId="1" applyFont="1" applyFill="1" applyBorder="1" applyAlignment="1">
      <alignment horizontal="center" vertical="center" textRotation="90" wrapText="1"/>
    </xf>
    <xf numFmtId="0" fontId="2" fillId="4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0" fontId="2" fillId="4" borderId="1" xfId="3" applyFont="1" applyFill="1" applyBorder="1" applyAlignment="1">
      <alignment horizontal="left" vertical="center" wrapText="1"/>
    </xf>
    <xf numFmtId="0" fontId="2" fillId="5" borderId="1" xfId="3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2" fontId="8" fillId="6" borderId="1" xfId="0" applyNumberFormat="1" applyFont="1" applyFill="1" applyBorder="1" applyAlignment="1">
      <alignment vertical="center" wrapText="1"/>
    </xf>
    <xf numFmtId="0" fontId="2" fillId="15" borderId="1" xfId="0" applyFont="1" applyFill="1" applyBorder="1" applyAlignment="1">
      <alignment vertical="center" wrapText="1"/>
    </xf>
    <xf numFmtId="164" fontId="3" fillId="8" borderId="1" xfId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64" fontId="3" fillId="12" borderId="1" xfId="0" applyNumberFormat="1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0" fontId="8" fillId="16" borderId="1" xfId="0" applyFont="1" applyFill="1" applyBorder="1" applyAlignment="1">
      <alignment vertical="center" wrapText="1"/>
    </xf>
    <xf numFmtId="0" fontId="3" fillId="8" borderId="0" xfId="0" applyFont="1" applyFill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6" fontId="3" fillId="8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64" fontId="2" fillId="8" borderId="1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vertical="center" wrapText="1"/>
    </xf>
    <xf numFmtId="2" fontId="8" fillId="8" borderId="1" xfId="0" applyNumberFormat="1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4" fontId="7" fillId="8" borderId="1" xfId="0" applyNumberFormat="1" applyFont="1" applyFill="1" applyBorder="1" applyAlignment="1">
      <alignment vertical="center" wrapText="1"/>
    </xf>
    <xf numFmtId="4" fontId="6" fillId="8" borderId="1" xfId="0" applyNumberFormat="1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4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7">
    <cellStyle name="Comma" xfId="1" builtinId="3"/>
    <cellStyle name="Comma 10" xfId="4" xr:uid="{00000000-0005-0000-0000-000001000000}"/>
    <cellStyle name="Comma 13" xfId="2" xr:uid="{00000000-0005-0000-0000-000002000000}"/>
    <cellStyle name="Comma 2 2" xfId="5" xr:uid="{00000000-0005-0000-0000-000003000000}"/>
    <cellStyle name="Normal" xfId="0" builtinId="0"/>
    <cellStyle name="Normal 2" xfId="3" xr:uid="{00000000-0005-0000-0000-000005000000}"/>
    <cellStyle name="Normal 6 3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2"/>
  <sheetViews>
    <sheetView tabSelected="1" zoomScale="60" zoomScaleNormal="60" workbookViewId="0">
      <pane xSplit="3" ySplit="4" topLeftCell="D5" activePane="bottomRight" state="frozen"/>
      <selection pane="topRight" activeCell="D1" sqref="D1"/>
      <selection pane="bottomLeft" activeCell="A9" sqref="A9"/>
      <selection pane="bottomRight" activeCell="T16" sqref="T16"/>
    </sheetView>
  </sheetViews>
  <sheetFormatPr defaultColWidth="9.109375" defaultRowHeight="15.6" x14ac:dyDescent="0.3"/>
  <cols>
    <col min="1" max="1" width="10.33203125" style="26" customWidth="1"/>
    <col min="2" max="2" width="63" style="1" customWidth="1"/>
    <col min="3" max="3" width="20.88671875" style="2" customWidth="1"/>
    <col min="4" max="6" width="13" style="1" customWidth="1"/>
    <col min="7" max="7" width="14.44140625" style="1" customWidth="1"/>
    <col min="8" max="8" width="13" style="1" customWidth="1"/>
    <col min="9" max="9" width="17.6640625" style="1" customWidth="1"/>
    <col min="10" max="12" width="13" style="1" customWidth="1"/>
    <col min="13" max="13" width="15.109375" style="1" customWidth="1"/>
    <col min="14" max="14" width="13" style="1" customWidth="1"/>
    <col min="15" max="15" width="15.88671875" style="1" customWidth="1"/>
    <col min="16" max="16" width="16" style="1" customWidth="1"/>
    <col min="17" max="17" width="17.109375" style="1" customWidth="1"/>
    <col min="18" max="18" width="15.33203125" style="1" customWidth="1"/>
    <col min="19" max="16384" width="9.109375" style="1"/>
  </cols>
  <sheetData>
    <row r="1" spans="1:17" ht="36" customHeight="1" x14ac:dyDescent="0.3">
      <c r="A1" s="81" t="s">
        <v>255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 x14ac:dyDescent="0.3">
      <c r="A2" s="3"/>
      <c r="B2" s="4"/>
      <c r="C2" s="5"/>
    </row>
    <row r="3" spans="1:17" ht="33.75" customHeight="1" x14ac:dyDescent="0.3">
      <c r="A3" s="82" t="s">
        <v>0</v>
      </c>
      <c r="B3" s="82"/>
      <c r="C3" s="51" t="s">
        <v>1</v>
      </c>
      <c r="D3" s="83" t="s">
        <v>257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6"/>
    </row>
    <row r="4" spans="1:17" ht="98.25" customHeight="1" x14ac:dyDescent="0.3">
      <c r="A4" s="82"/>
      <c r="B4" s="82"/>
      <c r="C4" s="48" t="s">
        <v>256</v>
      </c>
      <c r="D4" s="50" t="s">
        <v>2</v>
      </c>
      <c r="E4" s="50" t="s">
        <v>3</v>
      </c>
      <c r="F4" s="50" t="s">
        <v>4</v>
      </c>
      <c r="G4" s="50" t="s">
        <v>5</v>
      </c>
      <c r="H4" s="50" t="s">
        <v>6</v>
      </c>
      <c r="I4" s="50" t="s">
        <v>7</v>
      </c>
      <c r="J4" s="50" t="s">
        <v>8</v>
      </c>
      <c r="K4" s="50" t="s">
        <v>9</v>
      </c>
      <c r="L4" s="50" t="s">
        <v>10</v>
      </c>
      <c r="M4" s="50" t="s">
        <v>11</v>
      </c>
      <c r="N4" s="50" t="s">
        <v>12</v>
      </c>
      <c r="O4" s="50" t="s">
        <v>13</v>
      </c>
      <c r="P4" s="62" t="s">
        <v>14</v>
      </c>
      <c r="Q4" s="50" t="s">
        <v>15</v>
      </c>
    </row>
    <row r="5" spans="1:17" ht="46.8" x14ac:dyDescent="0.3">
      <c r="A5" s="49" t="s">
        <v>16</v>
      </c>
      <c r="B5" s="52" t="s">
        <v>17</v>
      </c>
      <c r="C5" s="7">
        <f>C6+C76+C110+C160+C192</f>
        <v>27087.573999999993</v>
      </c>
      <c r="D5" s="8">
        <f>+D6+D76+D110+D160+D192</f>
        <v>858.51292000000001</v>
      </c>
      <c r="E5" s="8">
        <f t="shared" ref="E5:P5" si="0">+E6+E76+E110+E160+E192</f>
        <v>499.35341</v>
      </c>
      <c r="F5" s="8">
        <f t="shared" si="0"/>
        <v>689.26225999999997</v>
      </c>
      <c r="G5" s="8">
        <f t="shared" si="0"/>
        <v>458.43101999999999</v>
      </c>
      <c r="H5" s="8">
        <f t="shared" si="0"/>
        <v>710.95037000000002</v>
      </c>
      <c r="I5" s="8">
        <f t="shared" si="0"/>
        <v>699.45191999999997</v>
      </c>
      <c r="J5" s="8">
        <f t="shared" si="0"/>
        <v>410.91503</v>
      </c>
      <c r="K5" s="8">
        <f t="shared" si="0"/>
        <v>505.12054000000001</v>
      </c>
      <c r="L5" s="8">
        <f t="shared" si="0"/>
        <v>550.63612000000001</v>
      </c>
      <c r="M5" s="8">
        <f t="shared" si="0"/>
        <v>552.63867000000005</v>
      </c>
      <c r="N5" s="8">
        <f t="shared" si="0"/>
        <v>587.52233000000001</v>
      </c>
      <c r="O5" s="8">
        <f t="shared" si="0"/>
        <v>549.39823999999999</v>
      </c>
      <c r="P5" s="8">
        <f t="shared" si="0"/>
        <v>19958.205569999998</v>
      </c>
      <c r="Q5" s="8">
        <f>SUM(D5:P5)</f>
        <v>27030.398399999998</v>
      </c>
    </row>
    <row r="6" spans="1:17" ht="19.5" customHeight="1" x14ac:dyDescent="0.3">
      <c r="A6" s="9" t="s">
        <v>18</v>
      </c>
      <c r="B6" s="53" t="s">
        <v>19</v>
      </c>
      <c r="C6" s="30">
        <f>C7+C26+C29+C41+C45+C53+C64+C75</f>
        <v>3308.2839999999997</v>
      </c>
      <c r="D6" s="10">
        <f t="shared" ref="D6:O6" si="1">D7+D26+D29+D41+D45+D53+D64+D75</f>
        <v>269.06723999999997</v>
      </c>
      <c r="E6" s="10">
        <f t="shared" si="1"/>
        <v>119.69104999999999</v>
      </c>
      <c r="F6" s="10">
        <f t="shared" si="1"/>
        <v>202.65404000000001</v>
      </c>
      <c r="G6" s="10">
        <f t="shared" si="1"/>
        <v>98.104299999999995</v>
      </c>
      <c r="H6" s="10">
        <f t="shared" si="1"/>
        <v>191.10965000000002</v>
      </c>
      <c r="I6" s="10">
        <f t="shared" si="1"/>
        <v>203.28404</v>
      </c>
      <c r="J6" s="10">
        <f t="shared" si="1"/>
        <v>70.239449999999991</v>
      </c>
      <c r="K6" s="10">
        <f t="shared" si="1"/>
        <v>124.00420000000001</v>
      </c>
      <c r="L6" s="10">
        <f t="shared" si="1"/>
        <v>142.61799999999999</v>
      </c>
      <c r="M6" s="10">
        <f t="shared" si="1"/>
        <v>135.50765000000001</v>
      </c>
      <c r="N6" s="10">
        <f t="shared" si="1"/>
        <v>142.70095000000001</v>
      </c>
      <c r="O6" s="10">
        <f t="shared" si="1"/>
        <v>132.44570000000002</v>
      </c>
      <c r="P6" s="10">
        <f>P7+P26+P29+P41+P45+P53+P64+P75</f>
        <v>1477.1214699999998</v>
      </c>
      <c r="Q6" s="10">
        <f>SUM(D6:P6)</f>
        <v>3308.54774</v>
      </c>
    </row>
    <row r="7" spans="1:17" ht="32.25" customHeight="1" x14ac:dyDescent="0.3">
      <c r="A7" s="11"/>
      <c r="B7" s="54" t="s">
        <v>20</v>
      </c>
      <c r="C7" s="30">
        <f>SUM(C8:C25)</f>
        <v>1132.7239999999999</v>
      </c>
      <c r="D7" s="16">
        <f t="shared" ref="D7:P7" si="2">SUM(D8:D25)</f>
        <v>115.72000000000001</v>
      </c>
      <c r="E7" s="16">
        <f t="shared" si="2"/>
        <v>49.84</v>
      </c>
      <c r="F7" s="16">
        <f t="shared" si="2"/>
        <v>83.010000000000019</v>
      </c>
      <c r="G7" s="16">
        <f t="shared" si="2"/>
        <v>28.15</v>
      </c>
      <c r="H7" s="16">
        <f t="shared" si="2"/>
        <v>88.515000000000015</v>
      </c>
      <c r="I7" s="16">
        <f t="shared" si="2"/>
        <v>76.585000000000022</v>
      </c>
      <c r="J7" s="16">
        <f t="shared" si="2"/>
        <v>25.364999999999998</v>
      </c>
      <c r="K7" s="16">
        <f t="shared" si="2"/>
        <v>46.95</v>
      </c>
      <c r="L7" s="16">
        <f t="shared" si="2"/>
        <v>62.320000000000007</v>
      </c>
      <c r="M7" s="16">
        <f t="shared" si="2"/>
        <v>56.872</v>
      </c>
      <c r="N7" s="16">
        <f t="shared" si="2"/>
        <v>56.175000000000004</v>
      </c>
      <c r="O7" s="16">
        <f t="shared" si="2"/>
        <v>56.925000000000011</v>
      </c>
      <c r="P7" s="16">
        <f t="shared" si="2"/>
        <v>386.28999999999996</v>
      </c>
      <c r="Q7" s="16">
        <f>SUM(D7:P7)</f>
        <v>1132.7170000000001</v>
      </c>
    </row>
    <row r="8" spans="1:17" x14ac:dyDescent="0.3">
      <c r="A8" s="12">
        <v>1</v>
      </c>
      <c r="B8" s="13" t="s">
        <v>21</v>
      </c>
      <c r="C8" s="31">
        <v>100.25</v>
      </c>
      <c r="D8" s="14">
        <v>14</v>
      </c>
      <c r="E8" s="14">
        <v>9.4499999999999993</v>
      </c>
      <c r="F8" s="14">
        <v>5</v>
      </c>
      <c r="G8" s="14">
        <v>4.0999999999999996</v>
      </c>
      <c r="H8" s="14">
        <v>11</v>
      </c>
      <c r="I8" s="14">
        <v>5</v>
      </c>
      <c r="J8" s="14">
        <v>3.2</v>
      </c>
      <c r="K8" s="14">
        <v>7</v>
      </c>
      <c r="L8" s="14">
        <v>7</v>
      </c>
      <c r="M8" s="14">
        <v>6.5</v>
      </c>
      <c r="N8" s="14">
        <v>11</v>
      </c>
      <c r="O8" s="14">
        <v>17</v>
      </c>
      <c r="P8" s="15">
        <v>0</v>
      </c>
      <c r="Q8" s="14">
        <f>SUM(D8:P8)</f>
        <v>100.25</v>
      </c>
    </row>
    <row r="9" spans="1:17" x14ac:dyDescent="0.3">
      <c r="A9" s="12">
        <v>2</v>
      </c>
      <c r="B9" s="13" t="s">
        <v>22</v>
      </c>
      <c r="C9" s="32">
        <v>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  <c r="Q9" s="14"/>
    </row>
    <row r="10" spans="1:17" x14ac:dyDescent="0.3">
      <c r="A10" s="12">
        <v>3</v>
      </c>
      <c r="B10" s="13" t="s">
        <v>23</v>
      </c>
      <c r="C10" s="31">
        <v>121.25</v>
      </c>
      <c r="D10" s="14">
        <v>17.52</v>
      </c>
      <c r="E10" s="14">
        <v>6.77</v>
      </c>
      <c r="F10" s="14">
        <v>13.2</v>
      </c>
      <c r="G10" s="14">
        <v>5.96</v>
      </c>
      <c r="H10" s="14">
        <v>10.345000000000001</v>
      </c>
      <c r="I10" s="14">
        <v>14.125</v>
      </c>
      <c r="J10" s="14">
        <v>4.165</v>
      </c>
      <c r="K10" s="14">
        <v>7</v>
      </c>
      <c r="L10" s="14">
        <v>10.54</v>
      </c>
      <c r="M10" s="14">
        <v>12.022</v>
      </c>
      <c r="N10" s="14">
        <v>10.025</v>
      </c>
      <c r="O10" s="14">
        <v>9.5749999999999993</v>
      </c>
      <c r="P10" s="15">
        <v>0</v>
      </c>
      <c r="Q10" s="14">
        <f t="shared" ref="Q10:Q17" si="3">SUM(D10:P10)</f>
        <v>121.24700000000001</v>
      </c>
    </row>
    <row r="11" spans="1:17" ht="31.2" x14ac:dyDescent="0.3">
      <c r="A11" s="12">
        <v>4</v>
      </c>
      <c r="B11" s="13" t="s">
        <v>24</v>
      </c>
      <c r="C11" s="31">
        <v>335.3</v>
      </c>
      <c r="D11" s="14">
        <v>46.23</v>
      </c>
      <c r="E11" s="14">
        <v>6.96</v>
      </c>
      <c r="F11" s="14">
        <v>36.47</v>
      </c>
      <c r="G11" s="14">
        <v>6.09</v>
      </c>
      <c r="H11" s="14">
        <v>30.15</v>
      </c>
      <c r="I11" s="14">
        <v>21.21</v>
      </c>
      <c r="J11" s="14">
        <v>6.34</v>
      </c>
      <c r="K11" s="14">
        <v>8.6199999999999992</v>
      </c>
      <c r="L11" s="14">
        <v>14.17</v>
      </c>
      <c r="M11" s="14">
        <v>15.57</v>
      </c>
      <c r="N11" s="14">
        <v>14.4</v>
      </c>
      <c r="O11" s="14">
        <v>12.33</v>
      </c>
      <c r="P11" s="15">
        <v>116.76</v>
      </c>
      <c r="Q11" s="14">
        <f t="shared" si="3"/>
        <v>335.3</v>
      </c>
    </row>
    <row r="12" spans="1:17" ht="31.2" x14ac:dyDescent="0.3">
      <c r="A12" s="12">
        <v>5</v>
      </c>
      <c r="B12" s="13" t="s">
        <v>25</v>
      </c>
      <c r="C12" s="31">
        <v>168</v>
      </c>
      <c r="D12" s="14">
        <v>30.82</v>
      </c>
      <c r="E12" s="14">
        <v>6</v>
      </c>
      <c r="F12" s="14">
        <v>21.92</v>
      </c>
      <c r="G12" s="14">
        <v>5.69</v>
      </c>
      <c r="H12" s="14">
        <v>15.68</v>
      </c>
      <c r="I12" s="14">
        <v>20.3</v>
      </c>
      <c r="J12" s="14">
        <v>5.69</v>
      </c>
      <c r="K12" s="14">
        <v>7.7</v>
      </c>
      <c r="L12" s="14">
        <v>13.25</v>
      </c>
      <c r="M12" s="14">
        <v>15.97</v>
      </c>
      <c r="N12" s="14">
        <v>13.49</v>
      </c>
      <c r="O12" s="14">
        <v>11.49</v>
      </c>
      <c r="P12" s="15">
        <v>0</v>
      </c>
      <c r="Q12" s="14">
        <f t="shared" si="3"/>
        <v>168.00000000000003</v>
      </c>
    </row>
    <row r="13" spans="1:17" ht="31.2" x14ac:dyDescent="0.3">
      <c r="A13" s="12">
        <v>6</v>
      </c>
      <c r="B13" s="13" t="s">
        <v>26</v>
      </c>
      <c r="C13" s="31">
        <v>19.064</v>
      </c>
      <c r="D13" s="14">
        <v>0.67</v>
      </c>
      <c r="E13" s="14">
        <v>0.67</v>
      </c>
      <c r="F13" s="14">
        <v>0.67</v>
      </c>
      <c r="G13" s="14">
        <v>0.67</v>
      </c>
      <c r="H13" s="14">
        <v>0.67</v>
      </c>
      <c r="I13" s="14">
        <v>0.67</v>
      </c>
      <c r="J13" s="14">
        <v>0.67</v>
      </c>
      <c r="K13" s="14">
        <v>0.67</v>
      </c>
      <c r="L13" s="14">
        <v>0.67</v>
      </c>
      <c r="M13" s="14">
        <v>0.67</v>
      </c>
      <c r="N13" s="14">
        <v>0.67</v>
      </c>
      <c r="O13" s="14">
        <v>0.67</v>
      </c>
      <c r="P13" s="15">
        <v>11.02</v>
      </c>
      <c r="Q13" s="14">
        <f t="shared" si="3"/>
        <v>19.060000000000002</v>
      </c>
    </row>
    <row r="14" spans="1:17" x14ac:dyDescent="0.3">
      <c r="A14" s="12">
        <v>7</v>
      </c>
      <c r="B14" s="13" t="s">
        <v>27</v>
      </c>
      <c r="C14" s="32">
        <v>27.32</v>
      </c>
      <c r="D14" s="14">
        <v>1.45</v>
      </c>
      <c r="E14" s="14">
        <v>1.45</v>
      </c>
      <c r="F14" s="14">
        <v>1.45</v>
      </c>
      <c r="G14" s="14">
        <v>1.45</v>
      </c>
      <c r="H14" s="14">
        <v>1.45</v>
      </c>
      <c r="I14" s="14">
        <v>1.45</v>
      </c>
      <c r="J14" s="14">
        <v>1.45</v>
      </c>
      <c r="K14" s="14">
        <v>1.45</v>
      </c>
      <c r="L14" s="14">
        <v>1.45</v>
      </c>
      <c r="M14" s="14">
        <v>1.45</v>
      </c>
      <c r="N14" s="14">
        <v>1.45</v>
      </c>
      <c r="O14" s="14">
        <v>1.45</v>
      </c>
      <c r="P14" s="15">
        <v>9.92</v>
      </c>
      <c r="Q14" s="14">
        <f t="shared" si="3"/>
        <v>27.319999999999993</v>
      </c>
    </row>
    <row r="15" spans="1:17" x14ac:dyDescent="0.3">
      <c r="A15" s="12">
        <v>8</v>
      </c>
      <c r="B15" s="13" t="s">
        <v>28</v>
      </c>
      <c r="C15" s="32">
        <v>10.5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v>10.5</v>
      </c>
      <c r="Q15" s="14">
        <f t="shared" si="3"/>
        <v>10.5</v>
      </c>
    </row>
    <row r="16" spans="1:17" x14ac:dyDescent="0.3">
      <c r="A16" s="12">
        <v>9</v>
      </c>
      <c r="B16" s="13" t="s">
        <v>29</v>
      </c>
      <c r="C16" s="32">
        <v>14.98</v>
      </c>
      <c r="D16" s="14">
        <v>1.06</v>
      </c>
      <c r="E16" s="14">
        <v>0.72</v>
      </c>
      <c r="F16" s="14">
        <v>1.06</v>
      </c>
      <c r="G16" s="14">
        <v>0.95</v>
      </c>
      <c r="H16" s="14">
        <v>1.4</v>
      </c>
      <c r="I16" s="14">
        <v>0.84</v>
      </c>
      <c r="J16" s="14">
        <v>0.61</v>
      </c>
      <c r="K16" s="14">
        <v>0.72</v>
      </c>
      <c r="L16" s="14">
        <v>0.72</v>
      </c>
      <c r="M16" s="14">
        <v>0.72</v>
      </c>
      <c r="N16" s="14">
        <v>1.17</v>
      </c>
      <c r="O16" s="14">
        <v>1.17</v>
      </c>
      <c r="P16" s="15">
        <v>3.84</v>
      </c>
      <c r="Q16" s="14">
        <f t="shared" si="3"/>
        <v>14.98</v>
      </c>
    </row>
    <row r="17" spans="1:17" x14ac:dyDescent="0.3">
      <c r="A17" s="12">
        <v>10</v>
      </c>
      <c r="B17" s="13" t="s">
        <v>30</v>
      </c>
      <c r="C17" s="32">
        <v>26.24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v>26.24</v>
      </c>
      <c r="Q17" s="14">
        <f t="shared" si="3"/>
        <v>26.24</v>
      </c>
    </row>
    <row r="18" spans="1:17" x14ac:dyDescent="0.3">
      <c r="A18" s="12">
        <v>11</v>
      </c>
      <c r="B18" s="13" t="s">
        <v>31</v>
      </c>
      <c r="C18" s="32">
        <v>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x14ac:dyDescent="0.3">
      <c r="A19" s="12">
        <v>12</v>
      </c>
      <c r="B19" s="13" t="s">
        <v>32</v>
      </c>
      <c r="C19" s="32">
        <v>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x14ac:dyDescent="0.3">
      <c r="A20" s="12">
        <v>13</v>
      </c>
      <c r="B20" s="13" t="s">
        <v>33</v>
      </c>
      <c r="C20" s="32">
        <v>50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50</v>
      </c>
      <c r="Q20" s="14">
        <v>50</v>
      </c>
    </row>
    <row r="21" spans="1:17" x14ac:dyDescent="0.3">
      <c r="A21" s="12">
        <v>14</v>
      </c>
      <c r="B21" s="13" t="s">
        <v>34</v>
      </c>
      <c r="C21" s="32">
        <v>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x14ac:dyDescent="0.3">
      <c r="A22" s="12">
        <v>15</v>
      </c>
      <c r="B22" s="13" t="s">
        <v>35</v>
      </c>
      <c r="C22" s="32">
        <v>22.52</v>
      </c>
      <c r="D22" s="14">
        <v>0.73</v>
      </c>
      <c r="E22" s="14">
        <v>0.73</v>
      </c>
      <c r="F22" s="14">
        <v>0</v>
      </c>
      <c r="G22" s="14">
        <v>0</v>
      </c>
      <c r="H22" s="14">
        <v>0.73</v>
      </c>
      <c r="I22" s="14">
        <v>0.73</v>
      </c>
      <c r="J22" s="14">
        <v>0</v>
      </c>
      <c r="K22" s="14">
        <v>0</v>
      </c>
      <c r="L22" s="14">
        <v>0.73</v>
      </c>
      <c r="M22" s="14">
        <v>0.73</v>
      </c>
      <c r="N22" s="14">
        <v>0.73</v>
      </c>
      <c r="O22" s="14">
        <v>0</v>
      </c>
      <c r="P22" s="14">
        <v>17.41</v>
      </c>
      <c r="Q22" s="14">
        <f>SUM(D22:P22)</f>
        <v>22.52</v>
      </c>
    </row>
    <row r="23" spans="1:17" x14ac:dyDescent="0.3">
      <c r="A23" s="12">
        <v>16</v>
      </c>
      <c r="B23" s="13" t="s">
        <v>36</v>
      </c>
      <c r="C23" s="32">
        <v>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14"/>
    </row>
    <row r="24" spans="1:17" x14ac:dyDescent="0.3">
      <c r="A24" s="12">
        <v>17</v>
      </c>
      <c r="B24" s="13" t="s">
        <v>37</v>
      </c>
      <c r="C24" s="32">
        <v>152.99</v>
      </c>
      <c r="D24" s="14">
        <v>2.2000000000000002</v>
      </c>
      <c r="E24" s="14">
        <v>2.2000000000000002</v>
      </c>
      <c r="F24" s="14">
        <v>2.2000000000000002</v>
      </c>
      <c r="G24" s="14">
        <v>2.2000000000000002</v>
      </c>
      <c r="H24" s="14">
        <v>2.2000000000000002</v>
      </c>
      <c r="I24" s="14">
        <v>2.2000000000000002</v>
      </c>
      <c r="J24" s="14">
        <v>2.2000000000000002</v>
      </c>
      <c r="K24" s="14">
        <v>2.2000000000000002</v>
      </c>
      <c r="L24" s="14">
        <v>2.2000000000000002</v>
      </c>
      <c r="M24" s="14">
        <v>2.2000000000000002</v>
      </c>
      <c r="N24" s="14">
        <v>2.2000000000000002</v>
      </c>
      <c r="O24" s="14">
        <v>2.2000000000000002</v>
      </c>
      <c r="P24" s="61">
        <v>126.59</v>
      </c>
      <c r="Q24" s="14">
        <f>SUM(D24:P24)</f>
        <v>152.99</v>
      </c>
    </row>
    <row r="25" spans="1:17" x14ac:dyDescent="0.3">
      <c r="A25" s="12">
        <v>18</v>
      </c>
      <c r="B25" s="13" t="s">
        <v>38</v>
      </c>
      <c r="C25" s="31">
        <v>84.31</v>
      </c>
      <c r="D25" s="14">
        <v>1.04</v>
      </c>
      <c r="E25" s="14">
        <v>14.89</v>
      </c>
      <c r="F25" s="14">
        <v>1.04</v>
      </c>
      <c r="G25" s="14">
        <v>1.04</v>
      </c>
      <c r="H25" s="14">
        <v>14.89</v>
      </c>
      <c r="I25" s="14">
        <v>10.06</v>
      </c>
      <c r="J25" s="14">
        <v>1.04</v>
      </c>
      <c r="K25" s="14">
        <v>11.59</v>
      </c>
      <c r="L25" s="14">
        <v>11.59</v>
      </c>
      <c r="M25" s="14">
        <v>1.04</v>
      </c>
      <c r="N25" s="14">
        <v>1.04</v>
      </c>
      <c r="O25" s="14">
        <v>1.04</v>
      </c>
      <c r="P25" s="61">
        <v>14.01</v>
      </c>
      <c r="Q25" s="14">
        <f>SUM(D25:P25)</f>
        <v>84.310000000000031</v>
      </c>
    </row>
    <row r="26" spans="1:17" x14ac:dyDescent="0.3">
      <c r="A26" s="11"/>
      <c r="B26" s="55" t="s">
        <v>39</v>
      </c>
      <c r="C26" s="30">
        <f t="shared" ref="C26:P26" si="4">SUM(C27:C28)</f>
        <v>32.6</v>
      </c>
      <c r="D26" s="16">
        <f t="shared" si="4"/>
        <v>0.7</v>
      </c>
      <c r="E26" s="16">
        <f t="shared" si="4"/>
        <v>0.7</v>
      </c>
      <c r="F26" s="16">
        <f t="shared" si="4"/>
        <v>0.7</v>
      </c>
      <c r="G26" s="16">
        <f t="shared" si="4"/>
        <v>0.7</v>
      </c>
      <c r="H26" s="16">
        <f t="shared" si="4"/>
        <v>0.7</v>
      </c>
      <c r="I26" s="16">
        <f t="shared" si="4"/>
        <v>0.7</v>
      </c>
      <c r="J26" s="16">
        <f t="shared" si="4"/>
        <v>0.7</v>
      </c>
      <c r="K26" s="16">
        <f t="shared" si="4"/>
        <v>0.7</v>
      </c>
      <c r="L26" s="16">
        <f t="shared" si="4"/>
        <v>0.7</v>
      </c>
      <c r="M26" s="16">
        <f t="shared" si="4"/>
        <v>0.7</v>
      </c>
      <c r="N26" s="16">
        <f t="shared" si="4"/>
        <v>0.7</v>
      </c>
      <c r="O26" s="16">
        <f t="shared" si="4"/>
        <v>0.7</v>
      </c>
      <c r="P26" s="16">
        <f t="shared" si="4"/>
        <v>24.2</v>
      </c>
      <c r="Q26" s="14">
        <f t="shared" ref="Q26:Q75" si="5">SUM(D26:P26)</f>
        <v>32.6</v>
      </c>
    </row>
    <row r="27" spans="1:17" x14ac:dyDescent="0.3">
      <c r="A27" s="12">
        <v>19</v>
      </c>
      <c r="B27" s="13" t="s">
        <v>40</v>
      </c>
      <c r="C27" s="31">
        <v>17.600000000000001</v>
      </c>
      <c r="D27" s="14">
        <v>0.45</v>
      </c>
      <c r="E27" s="14">
        <v>0.45</v>
      </c>
      <c r="F27" s="14">
        <v>0.45</v>
      </c>
      <c r="G27" s="14">
        <v>0.45</v>
      </c>
      <c r="H27" s="14">
        <v>0.45</v>
      </c>
      <c r="I27" s="14">
        <v>0.45</v>
      </c>
      <c r="J27" s="14">
        <v>0.45</v>
      </c>
      <c r="K27" s="14">
        <v>0.45</v>
      </c>
      <c r="L27" s="14">
        <v>0.45</v>
      </c>
      <c r="M27" s="14">
        <v>0.45</v>
      </c>
      <c r="N27" s="14">
        <v>0.45</v>
      </c>
      <c r="O27" s="14">
        <v>0.45</v>
      </c>
      <c r="P27" s="15">
        <v>12.2</v>
      </c>
      <c r="Q27" s="14">
        <f t="shared" si="5"/>
        <v>17.600000000000001</v>
      </c>
    </row>
    <row r="28" spans="1:17" ht="31.2" x14ac:dyDescent="0.3">
      <c r="A28" s="12">
        <v>20</v>
      </c>
      <c r="B28" s="13" t="s">
        <v>41</v>
      </c>
      <c r="C28" s="32">
        <v>15</v>
      </c>
      <c r="D28" s="14">
        <v>0.25</v>
      </c>
      <c r="E28" s="14">
        <v>0.25</v>
      </c>
      <c r="F28" s="14">
        <v>0.25</v>
      </c>
      <c r="G28" s="14">
        <v>0.25</v>
      </c>
      <c r="H28" s="14">
        <v>0.25</v>
      </c>
      <c r="I28" s="14">
        <v>0.25</v>
      </c>
      <c r="J28" s="14">
        <v>0.25</v>
      </c>
      <c r="K28" s="14">
        <v>0.25</v>
      </c>
      <c r="L28" s="14">
        <v>0.25</v>
      </c>
      <c r="M28" s="14">
        <v>0.25</v>
      </c>
      <c r="N28" s="14">
        <v>0.25</v>
      </c>
      <c r="O28" s="14">
        <v>0.25</v>
      </c>
      <c r="P28" s="15">
        <v>12</v>
      </c>
      <c r="Q28" s="14">
        <f t="shared" si="5"/>
        <v>15</v>
      </c>
    </row>
    <row r="29" spans="1:17" x14ac:dyDescent="0.3">
      <c r="A29" s="11"/>
      <c r="B29" s="54" t="s">
        <v>42</v>
      </c>
      <c r="C29" s="30">
        <f>SUM(C30:C40)</f>
        <v>513.96999999999991</v>
      </c>
      <c r="D29" s="16">
        <f t="shared" ref="D29:P29" si="6">SUM(D30:D40)</f>
        <v>48.517000000000003</v>
      </c>
      <c r="E29" s="16">
        <f t="shared" si="6"/>
        <v>20.962999999999997</v>
      </c>
      <c r="F29" s="16">
        <f t="shared" si="6"/>
        <v>42.175000000000004</v>
      </c>
      <c r="G29" s="16">
        <f t="shared" si="6"/>
        <v>14.798999999999999</v>
      </c>
      <c r="H29" s="16">
        <f t="shared" si="6"/>
        <v>32.253</v>
      </c>
      <c r="I29" s="16">
        <f t="shared" si="6"/>
        <v>36.005000000000003</v>
      </c>
      <c r="J29" s="16">
        <f t="shared" si="6"/>
        <v>3.0970000000000004</v>
      </c>
      <c r="K29" s="16">
        <f t="shared" si="6"/>
        <v>28.359000000000005</v>
      </c>
      <c r="L29" s="16">
        <f t="shared" si="6"/>
        <v>21.08</v>
      </c>
      <c r="M29" s="16">
        <f t="shared" si="6"/>
        <v>21.507000000000005</v>
      </c>
      <c r="N29" s="16">
        <f t="shared" si="6"/>
        <v>26.469000000000005</v>
      </c>
      <c r="O29" s="16">
        <f t="shared" si="6"/>
        <v>18.135000000000002</v>
      </c>
      <c r="P29" s="16">
        <f t="shared" si="6"/>
        <v>200.98699999999999</v>
      </c>
      <c r="Q29" s="14">
        <f t="shared" si="5"/>
        <v>514.346</v>
      </c>
    </row>
    <row r="30" spans="1:17" x14ac:dyDescent="0.3">
      <c r="A30" s="12">
        <v>21</v>
      </c>
      <c r="B30" s="13" t="s">
        <v>43</v>
      </c>
      <c r="C30" s="31">
        <v>128.49</v>
      </c>
      <c r="D30" s="63">
        <v>10.8</v>
      </c>
      <c r="E30" s="63">
        <v>10.8</v>
      </c>
      <c r="F30" s="63">
        <v>10.8</v>
      </c>
      <c r="G30" s="63">
        <v>10.8</v>
      </c>
      <c r="H30" s="63">
        <v>10.8</v>
      </c>
      <c r="I30" s="63">
        <v>10.8</v>
      </c>
      <c r="J30" s="63"/>
      <c r="K30" s="63">
        <v>10.8</v>
      </c>
      <c r="L30" s="63">
        <v>10.8</v>
      </c>
      <c r="M30" s="63">
        <v>10.8</v>
      </c>
      <c r="N30" s="63">
        <v>10.8</v>
      </c>
      <c r="O30" s="63">
        <v>10.8</v>
      </c>
      <c r="P30" s="64">
        <v>9.69</v>
      </c>
      <c r="Q30" s="63">
        <f t="shared" si="5"/>
        <v>128.48999999999998</v>
      </c>
    </row>
    <row r="31" spans="1:17" ht="31.2" x14ac:dyDescent="0.3">
      <c r="A31" s="12">
        <v>22</v>
      </c>
      <c r="B31" s="13" t="s">
        <v>44</v>
      </c>
      <c r="C31" s="31">
        <v>48.48</v>
      </c>
      <c r="D31" s="63"/>
      <c r="E31" s="63"/>
      <c r="F31" s="63">
        <v>2.4</v>
      </c>
      <c r="G31" s="63"/>
      <c r="H31" s="63"/>
      <c r="I31" s="63"/>
      <c r="J31" s="63"/>
      <c r="K31" s="63"/>
      <c r="L31" s="63"/>
      <c r="M31" s="63"/>
      <c r="N31" s="63"/>
      <c r="O31" s="63"/>
      <c r="P31" s="64">
        <v>46.076999999999998</v>
      </c>
      <c r="Q31" s="63">
        <f t="shared" si="5"/>
        <v>48.476999999999997</v>
      </c>
    </row>
    <row r="32" spans="1:17" x14ac:dyDescent="0.3">
      <c r="A32" s="12">
        <v>23</v>
      </c>
      <c r="B32" s="13" t="s">
        <v>45</v>
      </c>
      <c r="C32" s="33">
        <v>89.35</v>
      </c>
      <c r="D32" s="14">
        <f>7.69+7.407+1.8</f>
        <v>16.897000000000002</v>
      </c>
      <c r="E32" s="14">
        <f>1.497+1.442</f>
        <v>2.9390000000000001</v>
      </c>
      <c r="F32" s="14">
        <f>5.47+5.265</f>
        <v>10.734999999999999</v>
      </c>
      <c r="G32" s="14">
        <f>1.025</f>
        <v>1.0249999999999999</v>
      </c>
      <c r="H32" s="14">
        <f>5.075</f>
        <v>5.0750000000000002</v>
      </c>
      <c r="I32" s="14">
        <f>3.912+3.765+1</f>
        <v>8.6769999999999996</v>
      </c>
      <c r="J32" s="14">
        <f>1.197</f>
        <v>1.1970000000000001</v>
      </c>
      <c r="K32" s="14">
        <f>10.049+1.922</f>
        <v>11.971</v>
      </c>
      <c r="L32" s="14">
        <f>3.3</f>
        <v>3.3</v>
      </c>
      <c r="M32" s="14">
        <f>4.733</f>
        <v>4.7329999999999997</v>
      </c>
      <c r="N32" s="14">
        <f>3.365+6.542</f>
        <v>9.907</v>
      </c>
      <c r="O32" s="14">
        <f>2.855</f>
        <v>2.855</v>
      </c>
      <c r="P32" s="15">
        <f>3.054+5.36+2</f>
        <v>10.414</v>
      </c>
      <c r="Q32" s="14">
        <f t="shared" ref="Q32:Q39" si="7">SUM(D32:P32)</f>
        <v>89.725000000000009</v>
      </c>
    </row>
    <row r="33" spans="1:18" x14ac:dyDescent="0.3">
      <c r="A33" s="12">
        <v>24</v>
      </c>
      <c r="B33" s="13" t="s">
        <v>46</v>
      </c>
      <c r="C33" s="31">
        <v>103.52</v>
      </c>
      <c r="D33" s="14">
        <f>4+0.4+1.6+5</f>
        <v>11</v>
      </c>
      <c r="E33" s="14">
        <f>2+1+1.6</f>
        <v>4.5999999999999996</v>
      </c>
      <c r="F33" s="14">
        <f>4+1.1+0.8+5</f>
        <v>10.899999999999999</v>
      </c>
      <c r="G33" s="14">
        <f>0.55+0.8</f>
        <v>1.35</v>
      </c>
      <c r="H33" s="14">
        <f>4+0.65+0.8+6.22</f>
        <v>11.67</v>
      </c>
      <c r="I33" s="14">
        <f>4+0.9+0.8+4.92</f>
        <v>10.620000000000001</v>
      </c>
      <c r="J33" s="14">
        <f>0.8</f>
        <v>0.8</v>
      </c>
      <c r="K33" s="14">
        <f>0.7+1.6</f>
        <v>2.2999999999999998</v>
      </c>
      <c r="L33" s="14">
        <f>0.8+0.8</f>
        <v>1.6</v>
      </c>
      <c r="M33" s="14">
        <f>0.75+0.8</f>
        <v>1.55</v>
      </c>
      <c r="N33" s="14">
        <f>0.45+1.6</f>
        <v>2.0500000000000003</v>
      </c>
      <c r="O33" s="14">
        <f>0.5+0.8</f>
        <v>1.3</v>
      </c>
      <c r="P33" s="15">
        <f>2.1+9+14.79+3.6+2.446+1.84+10</f>
        <v>43.776000000000003</v>
      </c>
      <c r="Q33" s="14">
        <f t="shared" si="7"/>
        <v>103.51599999999999</v>
      </c>
      <c r="R33" s="72"/>
    </row>
    <row r="34" spans="1:18" x14ac:dyDescent="0.3">
      <c r="A34" s="12">
        <v>25</v>
      </c>
      <c r="B34" s="13" t="s">
        <v>47</v>
      </c>
      <c r="C34" s="31">
        <v>8.5299999999999994</v>
      </c>
      <c r="D34" s="14">
        <v>0.56999999999999995</v>
      </c>
      <c r="E34" s="14">
        <v>0.36199999999999999</v>
      </c>
      <c r="F34" s="14">
        <v>0.56999999999999995</v>
      </c>
      <c r="G34" s="14">
        <v>0.36199999999999999</v>
      </c>
      <c r="H34" s="14">
        <v>0.67400000000000004</v>
      </c>
      <c r="I34" s="14">
        <v>0.67400000000000004</v>
      </c>
      <c r="J34" s="14">
        <v>0.4</v>
      </c>
      <c r="K34" s="14">
        <v>0.46600000000000003</v>
      </c>
      <c r="L34" s="14">
        <v>0.56999999999999995</v>
      </c>
      <c r="M34" s="14">
        <v>0.88200000000000001</v>
      </c>
      <c r="N34" s="14">
        <v>0.56999999999999995</v>
      </c>
      <c r="O34" s="14">
        <v>0.67400000000000004</v>
      </c>
      <c r="P34" s="15">
        <f>0.8+0.96</f>
        <v>1.76</v>
      </c>
      <c r="Q34" s="14">
        <f t="shared" si="7"/>
        <v>8.5340000000000007</v>
      </c>
    </row>
    <row r="35" spans="1:18" x14ac:dyDescent="0.3">
      <c r="A35" s="12">
        <v>26</v>
      </c>
      <c r="B35" s="13" t="s">
        <v>48</v>
      </c>
      <c r="C35" s="32">
        <v>35.5</v>
      </c>
      <c r="D35" s="14">
        <f>0.85</f>
        <v>0.85</v>
      </c>
      <c r="E35" s="14">
        <f>0.562</f>
        <v>0.56200000000000006</v>
      </c>
      <c r="F35" s="14">
        <f>1.17</f>
        <v>1.17</v>
      </c>
      <c r="G35" s="14">
        <f>0.562</f>
        <v>0.56200000000000006</v>
      </c>
      <c r="H35" s="14">
        <f>1.234</f>
        <v>1.234</v>
      </c>
      <c r="I35" s="14">
        <f>1.234</f>
        <v>1.234</v>
      </c>
      <c r="J35" s="14"/>
      <c r="K35" s="14">
        <f>0.722</f>
        <v>0.72199999999999998</v>
      </c>
      <c r="L35" s="14">
        <f>1.81</f>
        <v>1.81</v>
      </c>
      <c r="M35" s="14">
        <f>1.042</f>
        <v>1.042</v>
      </c>
      <c r="N35" s="14">
        <f>1.042</f>
        <v>1.042</v>
      </c>
      <c r="O35" s="14">
        <f>1.106</f>
        <v>1.1060000000000001</v>
      </c>
      <c r="P35" s="15">
        <v>24.17</v>
      </c>
      <c r="Q35" s="14">
        <f t="shared" si="7"/>
        <v>35.504000000000005</v>
      </c>
      <c r="R35" s="72"/>
    </row>
    <row r="36" spans="1:18" x14ac:dyDescent="0.3">
      <c r="A36" s="12">
        <v>27</v>
      </c>
      <c r="B36" s="13" t="s">
        <v>49</v>
      </c>
      <c r="C36" s="32">
        <v>8.76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>
        <f>3.01+4.08+1.67</f>
        <v>8.76</v>
      </c>
      <c r="Q36" s="14">
        <f t="shared" si="7"/>
        <v>8.76</v>
      </c>
    </row>
    <row r="37" spans="1:18" ht="31.2" x14ac:dyDescent="0.3">
      <c r="A37" s="12">
        <v>28</v>
      </c>
      <c r="B37" s="13" t="s">
        <v>24</v>
      </c>
      <c r="C37" s="32">
        <v>7.5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5">
        <v>7.5</v>
      </c>
      <c r="Q37" s="14">
        <f t="shared" si="7"/>
        <v>7.5</v>
      </c>
    </row>
    <row r="38" spans="1:18" ht="31.2" x14ac:dyDescent="0.3">
      <c r="A38" s="12">
        <v>29</v>
      </c>
      <c r="B38" s="13" t="s">
        <v>25</v>
      </c>
      <c r="C38" s="32">
        <v>35</v>
      </c>
      <c r="D38" s="14">
        <f>8.4</f>
        <v>8.4</v>
      </c>
      <c r="E38" s="14">
        <v>1.7</v>
      </c>
      <c r="F38" s="14">
        <v>5.6</v>
      </c>
      <c r="G38" s="14">
        <v>0.7</v>
      </c>
      <c r="H38" s="14">
        <v>2.8</v>
      </c>
      <c r="I38" s="14">
        <v>4</v>
      </c>
      <c r="J38" s="14">
        <v>0.7</v>
      </c>
      <c r="K38" s="14">
        <v>2.1</v>
      </c>
      <c r="L38" s="14">
        <v>3</v>
      </c>
      <c r="M38" s="14">
        <v>2.5</v>
      </c>
      <c r="N38" s="14">
        <v>2.1</v>
      </c>
      <c r="O38" s="14">
        <v>1.4</v>
      </c>
      <c r="P38" s="15">
        <v>0</v>
      </c>
      <c r="Q38" s="14">
        <f t="shared" si="7"/>
        <v>35</v>
      </c>
    </row>
    <row r="39" spans="1:18" x14ac:dyDescent="0.3">
      <c r="A39" s="12">
        <v>30</v>
      </c>
      <c r="B39" s="13" t="s">
        <v>50</v>
      </c>
      <c r="C39" s="32">
        <v>48.84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5">
        <v>48.84</v>
      </c>
      <c r="Q39" s="14">
        <f t="shared" si="7"/>
        <v>48.84</v>
      </c>
    </row>
    <row r="40" spans="1:18" ht="21.75" customHeight="1" x14ac:dyDescent="0.3">
      <c r="A40" s="12">
        <v>31</v>
      </c>
      <c r="B40" s="13" t="s">
        <v>38</v>
      </c>
      <c r="C40" s="32">
        <v>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/>
      <c r="Q40" s="14"/>
    </row>
    <row r="41" spans="1:18" x14ac:dyDescent="0.3">
      <c r="A41" s="11"/>
      <c r="B41" s="54" t="s">
        <v>51</v>
      </c>
      <c r="C41" s="34">
        <f>SUM(C42:C44)</f>
        <v>570.24</v>
      </c>
      <c r="D41" s="16">
        <f t="shared" ref="D41:P41" si="8">SUM(D42:D44)</f>
        <v>44.89</v>
      </c>
      <c r="E41" s="16">
        <f t="shared" si="8"/>
        <v>30.299999999999997</v>
      </c>
      <c r="F41" s="16">
        <f t="shared" si="8"/>
        <v>38.04</v>
      </c>
      <c r="G41" s="16">
        <f t="shared" si="8"/>
        <v>27.11</v>
      </c>
      <c r="H41" s="16">
        <f t="shared" si="8"/>
        <v>41.660000000000004</v>
      </c>
      <c r="I41" s="16">
        <f t="shared" si="8"/>
        <v>37.15</v>
      </c>
      <c r="J41" s="16">
        <f t="shared" si="8"/>
        <v>27.15</v>
      </c>
      <c r="K41" s="16">
        <f t="shared" si="8"/>
        <v>31.41</v>
      </c>
      <c r="L41" s="16">
        <f t="shared" si="8"/>
        <v>36.17</v>
      </c>
      <c r="M41" s="16">
        <f t="shared" si="8"/>
        <v>35.71</v>
      </c>
      <c r="N41" s="16">
        <f t="shared" si="8"/>
        <v>34.989999999999995</v>
      </c>
      <c r="O41" s="16">
        <f t="shared" si="8"/>
        <v>36.559999999999995</v>
      </c>
      <c r="P41" s="16">
        <f t="shared" si="8"/>
        <v>149.09</v>
      </c>
      <c r="Q41" s="14">
        <f t="shared" si="5"/>
        <v>570.23</v>
      </c>
    </row>
    <row r="42" spans="1:18" x14ac:dyDescent="0.3">
      <c r="A42" s="12">
        <v>32</v>
      </c>
      <c r="B42" s="13" t="s">
        <v>52</v>
      </c>
      <c r="C42" s="32">
        <v>459.13</v>
      </c>
      <c r="D42" s="14">
        <v>32.200000000000003</v>
      </c>
      <c r="E42" s="14">
        <v>25.4</v>
      </c>
      <c r="F42" s="14">
        <v>30.7</v>
      </c>
      <c r="G42" s="14">
        <v>22.69</v>
      </c>
      <c r="H42" s="14">
        <v>33.200000000000003</v>
      </c>
      <c r="I42" s="14">
        <v>31.5</v>
      </c>
      <c r="J42" s="14">
        <v>23.2</v>
      </c>
      <c r="K42" s="14">
        <v>26.2</v>
      </c>
      <c r="L42" s="14">
        <v>30.3</v>
      </c>
      <c r="M42" s="14">
        <v>29.6</v>
      </c>
      <c r="N42" s="14">
        <v>29</v>
      </c>
      <c r="O42" s="14">
        <v>31.2</v>
      </c>
      <c r="P42" s="17">
        <v>113.94</v>
      </c>
      <c r="Q42" s="14">
        <f>SUM(D42:P42)</f>
        <v>459.13</v>
      </c>
    </row>
    <row r="43" spans="1:18" x14ac:dyDescent="0.3">
      <c r="A43" s="12">
        <v>33</v>
      </c>
      <c r="B43" s="13" t="s">
        <v>53</v>
      </c>
      <c r="C43" s="32">
        <v>35.25</v>
      </c>
      <c r="D43" s="14">
        <v>8.4600000000000009</v>
      </c>
      <c r="E43" s="14">
        <v>1.36</v>
      </c>
      <c r="F43" s="14">
        <v>2.83</v>
      </c>
      <c r="G43" s="14">
        <v>0.74</v>
      </c>
      <c r="H43" s="14">
        <v>4.4800000000000004</v>
      </c>
      <c r="I43" s="14">
        <v>1.39</v>
      </c>
      <c r="J43" s="14">
        <v>0.75</v>
      </c>
      <c r="K43" s="14">
        <v>1.41</v>
      </c>
      <c r="L43" s="14">
        <v>1.86</v>
      </c>
      <c r="M43" s="14">
        <v>1.69</v>
      </c>
      <c r="N43" s="14">
        <v>1.83</v>
      </c>
      <c r="O43" s="14">
        <v>1.49</v>
      </c>
      <c r="P43" s="17">
        <v>6.96</v>
      </c>
      <c r="Q43" s="14">
        <f>SUM(D43:P43)</f>
        <v>35.25</v>
      </c>
    </row>
    <row r="44" spans="1:18" x14ac:dyDescent="0.3">
      <c r="A44" s="12">
        <v>34</v>
      </c>
      <c r="B44" s="13" t="s">
        <v>54</v>
      </c>
      <c r="C44" s="32">
        <v>75.86</v>
      </c>
      <c r="D44" s="65">
        <v>4.2300000000000004</v>
      </c>
      <c r="E44" s="65">
        <v>3.54</v>
      </c>
      <c r="F44" s="65">
        <v>4.51</v>
      </c>
      <c r="G44" s="65">
        <v>3.68</v>
      </c>
      <c r="H44" s="65">
        <v>3.98</v>
      </c>
      <c r="I44" s="65">
        <v>4.26</v>
      </c>
      <c r="J44" s="65">
        <v>3.2</v>
      </c>
      <c r="K44" s="65">
        <v>3.8</v>
      </c>
      <c r="L44" s="65">
        <v>4.01</v>
      </c>
      <c r="M44" s="65">
        <v>4.42</v>
      </c>
      <c r="N44" s="65">
        <v>4.16</v>
      </c>
      <c r="O44" s="65">
        <v>3.87</v>
      </c>
      <c r="P44" s="66">
        <v>28.19</v>
      </c>
      <c r="Q44" s="65">
        <v>75.86</v>
      </c>
    </row>
    <row r="45" spans="1:18" x14ac:dyDescent="0.3">
      <c r="A45" s="11"/>
      <c r="B45" s="54" t="s">
        <v>55</v>
      </c>
      <c r="C45" s="30">
        <f>SUM(C46:C52)</f>
        <v>163.09</v>
      </c>
      <c r="D45" s="30">
        <f t="shared" ref="D45:P45" si="9">SUM(D46:D52)</f>
        <v>3.9294500000000001</v>
      </c>
      <c r="E45" s="30">
        <f t="shared" si="9"/>
        <v>2.6934499999999999</v>
      </c>
      <c r="F45" s="30">
        <f t="shared" si="9"/>
        <v>3.9004499999999998</v>
      </c>
      <c r="G45" s="30">
        <f t="shared" si="9"/>
        <v>16.237500000000001</v>
      </c>
      <c r="H45" s="30">
        <f t="shared" si="9"/>
        <v>3.03145</v>
      </c>
      <c r="I45" s="30">
        <f t="shared" si="9"/>
        <v>19.090949999999999</v>
      </c>
      <c r="J45" s="30">
        <f t="shared" si="9"/>
        <v>2.0254500000000002</v>
      </c>
      <c r="K45" s="30">
        <f t="shared" si="9"/>
        <v>1.7949999999999999</v>
      </c>
      <c r="L45" s="30">
        <f t="shared" si="9"/>
        <v>3.6019999999999999</v>
      </c>
      <c r="M45" s="30">
        <f t="shared" si="9"/>
        <v>2.6574499999999999</v>
      </c>
      <c r="N45" s="30">
        <f t="shared" si="9"/>
        <v>3.5364499999999999</v>
      </c>
      <c r="O45" s="30">
        <f t="shared" si="9"/>
        <v>2.7850000000000001</v>
      </c>
      <c r="P45" s="30">
        <f t="shared" si="9"/>
        <v>97.806219999999996</v>
      </c>
      <c r="Q45" s="30">
        <f>SUM(D45:P45)</f>
        <v>163.09082000000001</v>
      </c>
    </row>
    <row r="46" spans="1:18" x14ac:dyDescent="0.3">
      <c r="A46" s="12">
        <v>35</v>
      </c>
      <c r="B46" s="13" t="s">
        <v>56</v>
      </c>
      <c r="C46" s="31">
        <v>21.73</v>
      </c>
      <c r="D46" s="14">
        <v>1.67</v>
      </c>
      <c r="E46" s="14">
        <v>0.91</v>
      </c>
      <c r="F46" s="14">
        <v>2.0499999999999998</v>
      </c>
      <c r="G46" s="14">
        <v>0.91</v>
      </c>
      <c r="H46" s="14">
        <v>1.29</v>
      </c>
      <c r="I46" s="14">
        <v>1.67</v>
      </c>
      <c r="J46" s="14">
        <v>0.53</v>
      </c>
      <c r="K46" s="14">
        <v>0.91</v>
      </c>
      <c r="L46" s="14">
        <v>1.67</v>
      </c>
      <c r="M46" s="14">
        <v>0.91</v>
      </c>
      <c r="N46" s="14">
        <v>2.0499999999999998</v>
      </c>
      <c r="O46" s="14">
        <v>1.29</v>
      </c>
      <c r="P46" s="14">
        <v>5.8674999999999997</v>
      </c>
      <c r="Q46" s="80">
        <f t="shared" ref="Q46:Q50" si="10">SUM(D46:P46)</f>
        <v>21.727499999999999</v>
      </c>
    </row>
    <row r="47" spans="1:18" x14ac:dyDescent="0.3">
      <c r="A47" s="12">
        <v>36</v>
      </c>
      <c r="B47" s="13" t="s">
        <v>57</v>
      </c>
      <c r="C47" s="67">
        <v>26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>17.862+8.14</f>
        <v>26.001999999999999</v>
      </c>
      <c r="Q47" s="80">
        <f t="shared" si="10"/>
        <v>26.001999999999999</v>
      </c>
      <c r="R47" s="72"/>
    </row>
    <row r="48" spans="1:18" x14ac:dyDescent="0.3">
      <c r="A48" s="12">
        <v>37</v>
      </c>
      <c r="B48" s="13" t="s">
        <v>58</v>
      </c>
      <c r="C48" s="67">
        <v>44.59</v>
      </c>
      <c r="D48" s="14">
        <v>0</v>
      </c>
      <c r="E48" s="14">
        <v>1.38</v>
      </c>
      <c r="F48" s="14">
        <v>0</v>
      </c>
      <c r="G48" s="14">
        <v>1.08</v>
      </c>
      <c r="H48" s="14">
        <v>0</v>
      </c>
      <c r="I48" s="14">
        <v>0</v>
      </c>
      <c r="J48" s="14">
        <v>0.68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>33.24672+8.2</f>
        <v>41.446719999999999</v>
      </c>
      <c r="Q48" s="80">
        <f t="shared" si="10"/>
        <v>44.58672</v>
      </c>
      <c r="R48" s="72"/>
    </row>
    <row r="49" spans="1:18" x14ac:dyDescent="0.3">
      <c r="A49" s="12">
        <v>38</v>
      </c>
      <c r="B49" s="13" t="s">
        <v>59</v>
      </c>
      <c r="C49" s="67">
        <v>26.49</v>
      </c>
      <c r="D49" s="14">
        <v>2.2594500000000002</v>
      </c>
      <c r="E49" s="14">
        <v>0.40344999999999998</v>
      </c>
      <c r="F49" s="14">
        <v>1.8504499999999999</v>
      </c>
      <c r="G49" s="14">
        <v>0.60699999999999998</v>
      </c>
      <c r="H49" s="14">
        <v>1.7414499999999999</v>
      </c>
      <c r="I49" s="14">
        <v>2.3804500000000002</v>
      </c>
      <c r="J49" s="14">
        <v>0.81545000000000001</v>
      </c>
      <c r="K49" s="14">
        <v>0.88500000000000001</v>
      </c>
      <c r="L49" s="14">
        <v>1.9319999999999999</v>
      </c>
      <c r="M49" s="14">
        <v>1.7474499999999999</v>
      </c>
      <c r="N49" s="14">
        <v>1.48645</v>
      </c>
      <c r="O49" s="14">
        <v>1.4950000000000001</v>
      </c>
      <c r="P49" s="14">
        <v>8.89</v>
      </c>
      <c r="Q49" s="80">
        <f t="shared" si="10"/>
        <v>26.493600000000004</v>
      </c>
      <c r="R49" s="72"/>
    </row>
    <row r="50" spans="1:18" ht="31.2" x14ac:dyDescent="0.3">
      <c r="A50" s="12">
        <v>39</v>
      </c>
      <c r="B50" s="13" t="s">
        <v>60</v>
      </c>
      <c r="C50" s="67">
        <v>44.28</v>
      </c>
      <c r="D50" s="14">
        <v>0</v>
      </c>
      <c r="E50" s="14">
        <v>0</v>
      </c>
      <c r="F50" s="14">
        <v>0</v>
      </c>
      <c r="G50" s="14">
        <v>13.640499999999999</v>
      </c>
      <c r="H50" s="14">
        <v>0</v>
      </c>
      <c r="I50" s="14">
        <v>15.0405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>14+1.6</f>
        <v>15.6</v>
      </c>
      <c r="Q50" s="80">
        <f t="shared" si="10"/>
        <v>44.280999999999999</v>
      </c>
      <c r="R50" s="72"/>
    </row>
    <row r="51" spans="1:18" x14ac:dyDescent="0.3">
      <c r="A51" s="12">
        <v>40</v>
      </c>
      <c r="B51" s="13" t="s">
        <v>61</v>
      </c>
      <c r="C51" s="35">
        <v>0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72"/>
    </row>
    <row r="52" spans="1:18" ht="18.75" customHeight="1" x14ac:dyDescent="0.3">
      <c r="A52" s="12">
        <v>41</v>
      </c>
      <c r="B52" s="13" t="s">
        <v>38</v>
      </c>
      <c r="C52" s="32">
        <v>0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5"/>
      <c r="Q52" s="14"/>
    </row>
    <row r="53" spans="1:18" x14ac:dyDescent="0.3">
      <c r="A53" s="11"/>
      <c r="B53" s="54" t="s">
        <v>62</v>
      </c>
      <c r="C53" s="30">
        <f>SUM(C54:C63)</f>
        <v>439.84999999999997</v>
      </c>
      <c r="D53" s="16">
        <f>SUM(D54:D63)</f>
        <v>46.430790000000002</v>
      </c>
      <c r="E53" s="16">
        <f t="shared" ref="E53:Q53" si="11">SUM(E54:E63)</f>
        <v>8.3385999999999978</v>
      </c>
      <c r="F53" s="16">
        <f t="shared" si="11"/>
        <v>25.136589999999998</v>
      </c>
      <c r="G53" s="16">
        <f t="shared" si="11"/>
        <v>4.4798000000000009</v>
      </c>
      <c r="H53" s="16">
        <f t="shared" si="11"/>
        <v>15.670200000000001</v>
      </c>
      <c r="I53" s="16">
        <f t="shared" si="11"/>
        <v>25.601089999999996</v>
      </c>
      <c r="J53" s="16">
        <f t="shared" si="11"/>
        <v>6.4480000000000004</v>
      </c>
      <c r="K53" s="16">
        <f t="shared" si="11"/>
        <v>7.650199999999999</v>
      </c>
      <c r="L53" s="16">
        <f t="shared" si="11"/>
        <v>10.913999999999998</v>
      </c>
      <c r="M53" s="16">
        <f t="shared" si="11"/>
        <v>10.617199999999999</v>
      </c>
      <c r="N53" s="16">
        <f t="shared" si="11"/>
        <v>12.9145</v>
      </c>
      <c r="O53" s="16">
        <f t="shared" si="11"/>
        <v>9.1646999999999998</v>
      </c>
      <c r="P53" s="16">
        <f t="shared" si="11"/>
        <v>256.48824999999999</v>
      </c>
      <c r="Q53" s="16">
        <f t="shared" si="11"/>
        <v>439.85392000000002</v>
      </c>
    </row>
    <row r="54" spans="1:18" x14ac:dyDescent="0.3">
      <c r="A54" s="12">
        <v>42</v>
      </c>
      <c r="B54" s="13" t="s">
        <v>63</v>
      </c>
      <c r="C54" s="32">
        <v>131.16</v>
      </c>
      <c r="D54" s="14">
        <v>27.9895</v>
      </c>
      <c r="E54" s="14">
        <v>5.5664999999999996</v>
      </c>
      <c r="F54" s="14">
        <v>6.7735000000000003</v>
      </c>
      <c r="G54" s="14">
        <v>2.0990000000000002</v>
      </c>
      <c r="H54" s="14">
        <v>12.1195</v>
      </c>
      <c r="I54" s="14">
        <v>7.4284999999999997</v>
      </c>
      <c r="J54" s="14">
        <v>3.9660000000000002</v>
      </c>
      <c r="K54" s="14">
        <v>4.891</v>
      </c>
      <c r="L54" s="14">
        <v>7.84</v>
      </c>
      <c r="M54" s="14">
        <v>7.532</v>
      </c>
      <c r="N54" s="14">
        <v>9.6315000000000008</v>
      </c>
      <c r="O54" s="14">
        <v>6.181</v>
      </c>
      <c r="P54" s="15">
        <v>29.141999999999999</v>
      </c>
      <c r="Q54" s="14">
        <v>131.16</v>
      </c>
    </row>
    <row r="55" spans="1:18" x14ac:dyDescent="0.3">
      <c r="A55" s="12">
        <v>43</v>
      </c>
      <c r="B55" s="13" t="s">
        <v>64</v>
      </c>
      <c r="C55" s="32">
        <v>1.96</v>
      </c>
      <c r="D55" s="14">
        <v>0.28000000000000003</v>
      </c>
      <c r="E55" s="14">
        <v>0.14000000000000001</v>
      </c>
      <c r="F55" s="14">
        <v>0.28000000000000003</v>
      </c>
      <c r="G55" s="14">
        <v>0.14000000000000001</v>
      </c>
      <c r="H55" s="14">
        <v>0.14000000000000001</v>
      </c>
      <c r="I55" s="14">
        <v>0.14000000000000001</v>
      </c>
      <c r="J55" s="14">
        <v>0.14000000000000001</v>
      </c>
      <c r="K55" s="14">
        <v>0.14000000000000001</v>
      </c>
      <c r="L55" s="14">
        <v>0.14000000000000001</v>
      </c>
      <c r="M55" s="14">
        <v>0.14000000000000001</v>
      </c>
      <c r="N55" s="14">
        <v>0.14000000000000001</v>
      </c>
      <c r="O55" s="14">
        <v>0.14000000000000001</v>
      </c>
      <c r="P55" s="15">
        <v>0</v>
      </c>
      <c r="Q55" s="14">
        <v>1.9600000000000009</v>
      </c>
    </row>
    <row r="56" spans="1:18" x14ac:dyDescent="0.3">
      <c r="A56" s="12">
        <v>44</v>
      </c>
      <c r="B56" s="13" t="s">
        <v>65</v>
      </c>
      <c r="C56" s="32">
        <v>49.13</v>
      </c>
      <c r="D56" s="14">
        <v>9.7024000000000008</v>
      </c>
      <c r="E56" s="14">
        <v>0.49159999999999998</v>
      </c>
      <c r="F56" s="14">
        <v>9.6462000000000003</v>
      </c>
      <c r="G56" s="14">
        <v>0.23380000000000001</v>
      </c>
      <c r="H56" s="14">
        <v>0.97419999999999995</v>
      </c>
      <c r="I56" s="14">
        <v>9.6462000000000003</v>
      </c>
      <c r="J56" s="14">
        <v>0.36</v>
      </c>
      <c r="K56" s="14">
        <v>0.45519999999999999</v>
      </c>
      <c r="L56" s="14">
        <v>0.65900000000000003</v>
      </c>
      <c r="M56" s="14">
        <v>0.6462</v>
      </c>
      <c r="N56" s="14">
        <v>0.77500000000000002</v>
      </c>
      <c r="O56" s="14">
        <v>0.53620000000000001</v>
      </c>
      <c r="P56" s="15">
        <v>15.004</v>
      </c>
      <c r="Q56" s="14">
        <v>49.13</v>
      </c>
    </row>
    <row r="57" spans="1:18" x14ac:dyDescent="0.3">
      <c r="A57" s="12">
        <v>45</v>
      </c>
      <c r="B57" s="13" t="s">
        <v>66</v>
      </c>
      <c r="C57" s="32">
        <v>16.510000000000002</v>
      </c>
      <c r="D57" s="14">
        <v>4.9788899999999998</v>
      </c>
      <c r="E57" s="14">
        <v>0.14849999999999999</v>
      </c>
      <c r="F57" s="14">
        <v>5.0958899999999998</v>
      </c>
      <c r="G57" s="14">
        <v>4.4999999999999998E-2</v>
      </c>
      <c r="H57" s="14">
        <v>0.20250000000000001</v>
      </c>
      <c r="I57" s="14">
        <v>4.9563899999999999</v>
      </c>
      <c r="J57" s="14">
        <v>0.09</v>
      </c>
      <c r="K57" s="14">
        <v>0.13500000000000001</v>
      </c>
      <c r="L57" s="14">
        <v>0.216</v>
      </c>
      <c r="M57" s="14">
        <v>0.216</v>
      </c>
      <c r="N57" s="14">
        <v>0.26100000000000001</v>
      </c>
      <c r="O57" s="14">
        <v>0.16650000000000001</v>
      </c>
      <c r="P57" s="15">
        <v>0</v>
      </c>
      <c r="Q57" s="14">
        <v>16.511669999999999</v>
      </c>
    </row>
    <row r="58" spans="1:18" x14ac:dyDescent="0.3">
      <c r="A58" s="12">
        <v>46</v>
      </c>
      <c r="B58" s="13" t="s">
        <v>67</v>
      </c>
      <c r="C58" s="32">
        <v>92.02</v>
      </c>
      <c r="D58" s="14">
        <v>0.56499999999999995</v>
      </c>
      <c r="E58" s="14">
        <v>0.42699999999999999</v>
      </c>
      <c r="F58" s="14">
        <v>0.42599999999999999</v>
      </c>
      <c r="G58" s="14">
        <v>0.39700000000000002</v>
      </c>
      <c r="H58" s="14">
        <v>0.57899999999999996</v>
      </c>
      <c r="I58" s="14">
        <v>0.48499999999999999</v>
      </c>
      <c r="J58" s="14">
        <v>0.35699999999999998</v>
      </c>
      <c r="K58" s="14">
        <v>0.434</v>
      </c>
      <c r="L58" s="14">
        <v>0.434</v>
      </c>
      <c r="M58" s="14">
        <v>0.42799999999999999</v>
      </c>
      <c r="N58" s="14">
        <v>0.48199999999999998</v>
      </c>
      <c r="O58" s="14">
        <v>0.48599999999999999</v>
      </c>
      <c r="P58" s="15">
        <v>86.52</v>
      </c>
      <c r="Q58" s="14">
        <v>92.02</v>
      </c>
    </row>
    <row r="59" spans="1:18" x14ac:dyDescent="0.3">
      <c r="A59" s="12">
        <v>47</v>
      </c>
      <c r="B59" s="13" t="s">
        <v>68</v>
      </c>
      <c r="C59" s="35">
        <v>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v>5</v>
      </c>
      <c r="Q59" s="14">
        <v>5</v>
      </c>
    </row>
    <row r="60" spans="1:18" x14ac:dyDescent="0.3">
      <c r="A60" s="12">
        <v>48</v>
      </c>
      <c r="B60" s="13" t="s">
        <v>69</v>
      </c>
      <c r="C60" s="31">
        <v>29.07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7">
        <v>29.07225</v>
      </c>
      <c r="Q60" s="14">
        <v>29.07225</v>
      </c>
    </row>
    <row r="61" spans="1:18" x14ac:dyDescent="0.3">
      <c r="A61" s="12">
        <v>49</v>
      </c>
      <c r="B61" s="13" t="s">
        <v>70</v>
      </c>
      <c r="C61" s="32">
        <v>67.760000000000005</v>
      </c>
      <c r="D61" s="14">
        <v>1.425</v>
      </c>
      <c r="E61" s="14">
        <v>1.365</v>
      </c>
      <c r="F61" s="14">
        <v>1.425</v>
      </c>
      <c r="G61" s="14">
        <v>1.365</v>
      </c>
      <c r="H61" s="14">
        <v>1.4550000000000001</v>
      </c>
      <c r="I61" s="14">
        <v>1.4550000000000001</v>
      </c>
      <c r="J61" s="14">
        <v>1.335</v>
      </c>
      <c r="K61" s="14">
        <v>1.395</v>
      </c>
      <c r="L61" s="14">
        <v>1.425</v>
      </c>
      <c r="M61" s="14">
        <v>1.4550000000000001</v>
      </c>
      <c r="N61" s="14">
        <v>1.425</v>
      </c>
      <c r="O61" s="14">
        <v>1.4550000000000001</v>
      </c>
      <c r="P61" s="15">
        <v>50.78</v>
      </c>
      <c r="Q61" s="14">
        <v>67.760000000000005</v>
      </c>
    </row>
    <row r="62" spans="1:18" x14ac:dyDescent="0.3">
      <c r="A62" s="12">
        <v>50</v>
      </c>
      <c r="B62" s="13" t="s">
        <v>71</v>
      </c>
      <c r="C62" s="32">
        <v>47.24</v>
      </c>
      <c r="D62" s="14">
        <v>1.49</v>
      </c>
      <c r="E62" s="14">
        <v>0.2</v>
      </c>
      <c r="F62" s="14">
        <v>1.49</v>
      </c>
      <c r="G62" s="14">
        <v>0.2</v>
      </c>
      <c r="H62" s="14">
        <v>0.2</v>
      </c>
      <c r="I62" s="14">
        <v>1.49</v>
      </c>
      <c r="J62" s="14">
        <v>0.2</v>
      </c>
      <c r="K62" s="14">
        <v>0.2</v>
      </c>
      <c r="L62" s="14">
        <v>0.2</v>
      </c>
      <c r="M62" s="14">
        <v>0.2</v>
      </c>
      <c r="N62" s="14">
        <v>0.2</v>
      </c>
      <c r="O62" s="14">
        <v>0.2</v>
      </c>
      <c r="P62" s="15">
        <v>40.97</v>
      </c>
      <c r="Q62" s="14">
        <v>47.24</v>
      </c>
    </row>
    <row r="63" spans="1:18" ht="17.25" customHeight="1" x14ac:dyDescent="0.3">
      <c r="A63" s="12">
        <v>51</v>
      </c>
      <c r="B63" s="13" t="s">
        <v>38</v>
      </c>
      <c r="C63" s="32">
        <v>0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5"/>
      <c r="Q63" s="14">
        <f t="shared" si="5"/>
        <v>0</v>
      </c>
    </row>
    <row r="64" spans="1:18" x14ac:dyDescent="0.3">
      <c r="A64" s="11"/>
      <c r="B64" s="54" t="s">
        <v>72</v>
      </c>
      <c r="C64" s="30">
        <f>SUM(C65:C74)</f>
        <v>437.82</v>
      </c>
      <c r="D64" s="16">
        <f t="shared" ref="D64:P64" si="12">SUM(D65:D74)</f>
        <v>7.88</v>
      </c>
      <c r="E64" s="16">
        <f t="shared" si="12"/>
        <v>5.8559999999999999</v>
      </c>
      <c r="F64" s="16">
        <f t="shared" si="12"/>
        <v>8.6920000000000002</v>
      </c>
      <c r="G64" s="16">
        <f t="shared" si="12"/>
        <v>5.6280000000000001</v>
      </c>
      <c r="H64" s="16">
        <f t="shared" si="12"/>
        <v>8.2799999999999994</v>
      </c>
      <c r="I64" s="16">
        <f t="shared" si="12"/>
        <v>7.1519999999999992</v>
      </c>
      <c r="J64" s="16">
        <f t="shared" si="12"/>
        <v>4.4539999999999997</v>
      </c>
      <c r="K64" s="16">
        <f t="shared" si="12"/>
        <v>6.1400000000000006</v>
      </c>
      <c r="L64" s="16">
        <f t="shared" si="12"/>
        <v>6.8319999999999999</v>
      </c>
      <c r="M64" s="16">
        <f t="shared" si="12"/>
        <v>6.444</v>
      </c>
      <c r="N64" s="16">
        <f t="shared" si="12"/>
        <v>6.9160000000000004</v>
      </c>
      <c r="O64" s="16">
        <f t="shared" si="12"/>
        <v>7.1760000000000002</v>
      </c>
      <c r="P64" s="16">
        <f t="shared" si="12"/>
        <v>356.27</v>
      </c>
      <c r="Q64" s="14">
        <f t="shared" si="5"/>
        <v>437.71999999999997</v>
      </c>
    </row>
    <row r="65" spans="1:18" x14ac:dyDescent="0.3">
      <c r="A65" s="12">
        <v>52</v>
      </c>
      <c r="B65" s="13" t="s">
        <v>73</v>
      </c>
      <c r="C65" s="32">
        <v>264.98</v>
      </c>
      <c r="D65" s="14">
        <f>0.85+2.52</f>
        <v>3.37</v>
      </c>
      <c r="E65" s="14">
        <f>0.85+1.242</f>
        <v>2.0920000000000001</v>
      </c>
      <c r="F65" s="14">
        <f>0.85+1.269</f>
        <v>2.1189999999999998</v>
      </c>
      <c r="G65" s="14">
        <f>0.85+1.071</f>
        <v>1.9209999999999998</v>
      </c>
      <c r="H65" s="14">
        <f>0.85+2.61</f>
        <v>3.46</v>
      </c>
      <c r="I65" s="14">
        <f>0.85+1.764</f>
        <v>2.6139999999999999</v>
      </c>
      <c r="J65" s="14">
        <f>0.5+0.603</f>
        <v>1.103</v>
      </c>
      <c r="K65" s="14">
        <f>0.85+1.305</f>
        <v>2.1549999999999998</v>
      </c>
      <c r="L65" s="14">
        <f>0.85+1.674</f>
        <v>2.524</v>
      </c>
      <c r="M65" s="14">
        <f>0.85+1.233</f>
        <v>2.0830000000000002</v>
      </c>
      <c r="N65" s="14">
        <f>0.85+1.737</f>
        <v>2.5870000000000002</v>
      </c>
      <c r="O65" s="14">
        <f>0.85+1.782</f>
        <v>2.6320000000000001</v>
      </c>
      <c r="P65" s="14">
        <f>61.8+94.37+65.7+5+6+3.45</f>
        <v>236.32</v>
      </c>
      <c r="Q65" s="14">
        <f t="shared" si="5"/>
        <v>264.98</v>
      </c>
    </row>
    <row r="66" spans="1:18" x14ac:dyDescent="0.3">
      <c r="A66" s="12">
        <v>53</v>
      </c>
      <c r="B66" s="13" t="s">
        <v>74</v>
      </c>
      <c r="C66" s="31">
        <v>104.7</v>
      </c>
      <c r="D66" s="14">
        <f>0.56+1.15</f>
        <v>1.71</v>
      </c>
      <c r="E66" s="14">
        <f>0.276+1.05</f>
        <v>1.3260000000000001</v>
      </c>
      <c r="F66" s="14">
        <f>0.282+1.45</f>
        <v>1.732</v>
      </c>
      <c r="G66" s="14">
        <f>0.238+1.05</f>
        <v>1.288</v>
      </c>
      <c r="H66" s="14">
        <f>0.58+1.65</f>
        <v>2.23</v>
      </c>
      <c r="I66" s="14">
        <f>0.392+1.65</f>
        <v>2.0419999999999998</v>
      </c>
      <c r="J66" s="14">
        <f>0.134+0.85</f>
        <v>0.98399999999999999</v>
      </c>
      <c r="K66" s="14">
        <f>0.29+1.25</f>
        <v>1.54</v>
      </c>
      <c r="L66" s="14">
        <f>0.372+1.45</f>
        <v>1.8220000000000001</v>
      </c>
      <c r="M66" s="14">
        <f>0.274+1.65</f>
        <v>1.9239999999999999</v>
      </c>
      <c r="N66" s="14">
        <f>0.386+1.45</f>
        <v>1.8359999999999999</v>
      </c>
      <c r="O66" s="14">
        <f>0.396+1.65</f>
        <v>2.0459999999999998</v>
      </c>
      <c r="P66" s="14">
        <f>27.73+33.27+13.34+8.1+1.68</f>
        <v>84.12</v>
      </c>
      <c r="Q66" s="14">
        <f t="shared" si="5"/>
        <v>104.6</v>
      </c>
    </row>
    <row r="67" spans="1:18" x14ac:dyDescent="0.3">
      <c r="A67" s="12">
        <v>54</v>
      </c>
      <c r="B67" s="13" t="s">
        <v>75</v>
      </c>
      <c r="C67" s="35">
        <v>2.4</v>
      </c>
      <c r="D67" s="14">
        <v>0</v>
      </c>
      <c r="E67" s="14">
        <v>0</v>
      </c>
      <c r="F67" s="14">
        <v>2.4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/>
      <c r="Q67" s="14">
        <f t="shared" si="5"/>
        <v>2.4</v>
      </c>
    </row>
    <row r="68" spans="1:18" x14ac:dyDescent="0.3">
      <c r="A68" s="12">
        <v>55</v>
      </c>
      <c r="B68" s="13" t="s">
        <v>76</v>
      </c>
      <c r="C68" s="32">
        <v>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>
        <f t="shared" si="5"/>
        <v>0</v>
      </c>
    </row>
    <row r="69" spans="1:18" x14ac:dyDescent="0.3">
      <c r="A69" s="12">
        <v>56</v>
      </c>
      <c r="B69" s="13" t="s">
        <v>77</v>
      </c>
      <c r="C69" s="32">
        <v>14.22</v>
      </c>
      <c r="D69" s="14">
        <v>1.22</v>
      </c>
      <c r="E69" s="14">
        <v>1</v>
      </c>
      <c r="F69" s="14">
        <v>1</v>
      </c>
      <c r="G69" s="14">
        <v>1</v>
      </c>
      <c r="H69" s="14">
        <v>1</v>
      </c>
      <c r="I69" s="14">
        <v>1</v>
      </c>
      <c r="J69" s="14">
        <v>1</v>
      </c>
      <c r="K69" s="14">
        <v>1</v>
      </c>
      <c r="L69" s="14">
        <v>1</v>
      </c>
      <c r="M69" s="14">
        <v>1</v>
      </c>
      <c r="N69" s="14">
        <v>1</v>
      </c>
      <c r="O69" s="14">
        <v>1</v>
      </c>
      <c r="P69" s="14">
        <v>2</v>
      </c>
      <c r="Q69" s="14">
        <f t="shared" si="5"/>
        <v>14.219999999999999</v>
      </c>
    </row>
    <row r="70" spans="1:18" x14ac:dyDescent="0.3">
      <c r="A70" s="12">
        <v>57</v>
      </c>
      <c r="B70" s="13" t="s">
        <v>78</v>
      </c>
      <c r="C70" s="32">
        <v>0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>
        <f t="shared" si="5"/>
        <v>0</v>
      </c>
    </row>
    <row r="71" spans="1:18" x14ac:dyDescent="0.3">
      <c r="A71" s="12">
        <v>58</v>
      </c>
      <c r="B71" s="13" t="s">
        <v>79</v>
      </c>
      <c r="C71" s="32">
        <v>51.52</v>
      </c>
      <c r="D71" s="14">
        <f>1.3+0.28</f>
        <v>1.58</v>
      </c>
      <c r="E71" s="14">
        <f>1.3+0.138</f>
        <v>1.4380000000000002</v>
      </c>
      <c r="F71" s="14">
        <f>1.3+0.141</f>
        <v>1.4410000000000001</v>
      </c>
      <c r="G71" s="14">
        <f>1.3+0.119</f>
        <v>1.419</v>
      </c>
      <c r="H71" s="14">
        <f>1.3+0.29</f>
        <v>1.59</v>
      </c>
      <c r="I71" s="14">
        <f>1.3+0.196</f>
        <v>1.496</v>
      </c>
      <c r="J71" s="14">
        <f>1.3+0.067</f>
        <v>1.367</v>
      </c>
      <c r="K71" s="14">
        <f>1.3+0.145</f>
        <v>1.4450000000000001</v>
      </c>
      <c r="L71" s="14">
        <f>1.3+0.186</f>
        <v>1.486</v>
      </c>
      <c r="M71" s="14">
        <f>1.3+0.137</f>
        <v>1.4370000000000001</v>
      </c>
      <c r="N71" s="14">
        <f>1.3+0.193</f>
        <v>1.4930000000000001</v>
      </c>
      <c r="O71" s="14">
        <f>1.3+0.198</f>
        <v>1.498</v>
      </c>
      <c r="P71" s="14">
        <f>14.14+18.85+0.84</f>
        <v>33.830000000000005</v>
      </c>
      <c r="Q71" s="14">
        <f t="shared" si="5"/>
        <v>51.52000000000001</v>
      </c>
    </row>
    <row r="72" spans="1:18" x14ac:dyDescent="0.3">
      <c r="A72" s="12">
        <v>59</v>
      </c>
      <c r="B72" s="13" t="s">
        <v>80</v>
      </c>
      <c r="C72" s="32">
        <v>0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>
        <f t="shared" si="5"/>
        <v>0</v>
      </c>
    </row>
    <row r="73" spans="1:18" x14ac:dyDescent="0.3">
      <c r="A73" s="12">
        <v>60</v>
      </c>
      <c r="B73" s="13" t="s">
        <v>81</v>
      </c>
      <c r="C73" s="35">
        <v>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>
        <f t="shared" si="5"/>
        <v>0</v>
      </c>
    </row>
    <row r="74" spans="1:18" ht="21" customHeight="1" x14ac:dyDescent="0.3">
      <c r="A74" s="12">
        <v>61</v>
      </c>
      <c r="B74" s="13" t="s">
        <v>38</v>
      </c>
      <c r="C74" s="32">
        <v>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5"/>
      <c r="Q74" s="14">
        <f t="shared" si="5"/>
        <v>0</v>
      </c>
    </row>
    <row r="75" spans="1:18" ht="54.75" customHeight="1" x14ac:dyDescent="0.3">
      <c r="A75" s="11">
        <v>62</v>
      </c>
      <c r="B75" s="55" t="s">
        <v>82</v>
      </c>
      <c r="C75" s="30">
        <v>17.989999999999998</v>
      </c>
      <c r="D75" s="14">
        <v>1</v>
      </c>
      <c r="E75" s="14">
        <v>1</v>
      </c>
      <c r="F75" s="14">
        <v>1</v>
      </c>
      <c r="G75" s="14">
        <v>1</v>
      </c>
      <c r="H75" s="14">
        <v>1</v>
      </c>
      <c r="I75" s="14">
        <v>1</v>
      </c>
      <c r="J75" s="14">
        <v>1</v>
      </c>
      <c r="K75" s="14">
        <v>1</v>
      </c>
      <c r="L75" s="14">
        <v>1</v>
      </c>
      <c r="M75" s="14">
        <v>1</v>
      </c>
      <c r="N75" s="14">
        <v>1</v>
      </c>
      <c r="O75" s="14">
        <v>1</v>
      </c>
      <c r="P75" s="15">
        <v>5.99</v>
      </c>
      <c r="Q75" s="14">
        <f t="shared" si="5"/>
        <v>17.990000000000002</v>
      </c>
    </row>
    <row r="76" spans="1:18" x14ac:dyDescent="0.3">
      <c r="A76" s="18" t="s">
        <v>83</v>
      </c>
      <c r="B76" s="56" t="s">
        <v>84</v>
      </c>
      <c r="C76" s="36">
        <f>C77+C78+C84+C89+C102+C107+C108+C109</f>
        <v>3105.1200000000003</v>
      </c>
      <c r="D76" s="10">
        <f t="shared" ref="D76:P76" si="13">D77+D78+D84+D89+D102+D107+D108+D109</f>
        <v>196.54249999999999</v>
      </c>
      <c r="E76" s="10">
        <f t="shared" si="13"/>
        <v>164.25</v>
      </c>
      <c r="F76" s="10">
        <f t="shared" si="13"/>
        <v>199.04249999999999</v>
      </c>
      <c r="G76" s="10">
        <f t="shared" si="13"/>
        <v>164.25</v>
      </c>
      <c r="H76" s="10">
        <f t="shared" si="13"/>
        <v>196.54249999999999</v>
      </c>
      <c r="I76" s="10">
        <f t="shared" si="13"/>
        <v>196.54249999999999</v>
      </c>
      <c r="J76" s="10">
        <f t="shared" si="13"/>
        <v>164.25</v>
      </c>
      <c r="K76" s="10">
        <f t="shared" si="13"/>
        <v>164.25</v>
      </c>
      <c r="L76" s="10">
        <f t="shared" si="13"/>
        <v>164.25</v>
      </c>
      <c r="M76" s="10">
        <f t="shared" si="13"/>
        <v>164.25</v>
      </c>
      <c r="N76" s="10">
        <f t="shared" si="13"/>
        <v>164.25</v>
      </c>
      <c r="O76" s="10">
        <f t="shared" si="13"/>
        <v>164.25</v>
      </c>
      <c r="P76" s="10">
        <f t="shared" si="13"/>
        <v>1002.4499999999999</v>
      </c>
      <c r="Q76" s="14">
        <f t="shared" ref="Q76:Q135" si="14">SUM(D76:P76)</f>
        <v>3105.12</v>
      </c>
    </row>
    <row r="77" spans="1:18" ht="31.2" x14ac:dyDescent="0.3">
      <c r="A77" s="11">
        <v>63</v>
      </c>
      <c r="B77" s="54" t="s">
        <v>85</v>
      </c>
      <c r="C77" s="37">
        <v>141.85</v>
      </c>
      <c r="D77" s="14">
        <v>10</v>
      </c>
      <c r="E77" s="14">
        <v>10</v>
      </c>
      <c r="F77" s="14">
        <v>10</v>
      </c>
      <c r="G77" s="14">
        <v>10</v>
      </c>
      <c r="H77" s="14">
        <v>10</v>
      </c>
      <c r="I77" s="14">
        <v>10</v>
      </c>
      <c r="J77" s="14">
        <v>10</v>
      </c>
      <c r="K77" s="14">
        <v>10</v>
      </c>
      <c r="L77" s="14">
        <v>10</v>
      </c>
      <c r="M77" s="14">
        <v>10</v>
      </c>
      <c r="N77" s="14">
        <v>10</v>
      </c>
      <c r="O77" s="14">
        <v>10</v>
      </c>
      <c r="P77" s="15">
        <v>21.85</v>
      </c>
      <c r="Q77" s="14">
        <f>SUM(D77:P77)</f>
        <v>141.85</v>
      </c>
    </row>
    <row r="78" spans="1:18" ht="31.2" x14ac:dyDescent="0.3">
      <c r="A78" s="11"/>
      <c r="B78" s="54" t="s">
        <v>86</v>
      </c>
      <c r="C78" s="30">
        <f>SUM(C79:C83)</f>
        <v>577.81999999999994</v>
      </c>
      <c r="D78" s="16">
        <f t="shared" ref="D78:P78" si="15">SUM(D79:D83)</f>
        <v>68.29249999999999</v>
      </c>
      <c r="E78" s="16">
        <f t="shared" si="15"/>
        <v>36</v>
      </c>
      <c r="F78" s="16">
        <f t="shared" si="15"/>
        <v>68.29249999999999</v>
      </c>
      <c r="G78" s="16">
        <f t="shared" si="15"/>
        <v>36</v>
      </c>
      <c r="H78" s="16">
        <f t="shared" si="15"/>
        <v>68.29249999999999</v>
      </c>
      <c r="I78" s="16">
        <f t="shared" si="15"/>
        <v>68.29249999999999</v>
      </c>
      <c r="J78" s="16">
        <f t="shared" si="15"/>
        <v>36</v>
      </c>
      <c r="K78" s="16">
        <f t="shared" si="15"/>
        <v>36</v>
      </c>
      <c r="L78" s="16">
        <f t="shared" si="15"/>
        <v>36</v>
      </c>
      <c r="M78" s="16">
        <f t="shared" si="15"/>
        <v>36</v>
      </c>
      <c r="N78" s="16">
        <f t="shared" si="15"/>
        <v>36</v>
      </c>
      <c r="O78" s="16">
        <f t="shared" si="15"/>
        <v>36</v>
      </c>
      <c r="P78" s="16">
        <f t="shared" si="15"/>
        <v>16.649999999999999</v>
      </c>
      <c r="Q78" s="14">
        <f t="shared" si="14"/>
        <v>577.81999999999994</v>
      </c>
    </row>
    <row r="79" spans="1:18" x14ac:dyDescent="0.3">
      <c r="A79" s="12">
        <v>64</v>
      </c>
      <c r="B79" s="13" t="s">
        <v>87</v>
      </c>
      <c r="C79" s="31">
        <v>448.65</v>
      </c>
      <c r="D79" s="71">
        <v>36</v>
      </c>
      <c r="E79" s="71">
        <v>36</v>
      </c>
      <c r="F79" s="71">
        <v>36</v>
      </c>
      <c r="G79" s="71">
        <v>36</v>
      </c>
      <c r="H79" s="71">
        <v>36</v>
      </c>
      <c r="I79" s="71">
        <v>36</v>
      </c>
      <c r="J79" s="71">
        <v>36</v>
      </c>
      <c r="K79" s="71">
        <v>36</v>
      </c>
      <c r="L79" s="71">
        <v>36</v>
      </c>
      <c r="M79" s="71">
        <v>36</v>
      </c>
      <c r="N79" s="71">
        <v>36</v>
      </c>
      <c r="O79" s="71">
        <v>36</v>
      </c>
      <c r="P79" s="71">
        <v>16.649999999999999</v>
      </c>
      <c r="Q79" s="14">
        <f>SUM(D79:P79)</f>
        <v>448.65</v>
      </c>
      <c r="R79" s="72"/>
    </row>
    <row r="80" spans="1:18" x14ac:dyDescent="0.3">
      <c r="A80" s="12">
        <v>65</v>
      </c>
      <c r="B80" s="13" t="s">
        <v>88</v>
      </c>
      <c r="C80" s="32">
        <v>0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>
        <f t="shared" ref="Q80:Q82" si="16">SUM(D80:P80)</f>
        <v>0</v>
      </c>
    </row>
    <row r="81" spans="1:18" x14ac:dyDescent="0.3">
      <c r="A81" s="12">
        <v>66</v>
      </c>
      <c r="B81" s="13" t="s">
        <v>89</v>
      </c>
      <c r="C81" s="35">
        <v>29.39</v>
      </c>
      <c r="D81" s="14">
        <v>7.3475000000000001</v>
      </c>
      <c r="E81" s="14"/>
      <c r="F81" s="14">
        <v>7.3475000000000001</v>
      </c>
      <c r="G81" s="14"/>
      <c r="H81" s="14">
        <v>7.3475000000000001</v>
      </c>
      <c r="I81" s="14">
        <v>7.3475000000000001</v>
      </c>
      <c r="J81" s="14"/>
      <c r="K81" s="14"/>
      <c r="L81" s="14"/>
      <c r="M81" s="14"/>
      <c r="N81" s="14"/>
      <c r="O81" s="14"/>
      <c r="P81" s="14"/>
      <c r="Q81" s="14">
        <f t="shared" si="16"/>
        <v>29.39</v>
      </c>
    </row>
    <row r="82" spans="1:18" x14ac:dyDescent="0.3">
      <c r="A82" s="12">
        <v>67</v>
      </c>
      <c r="B82" s="13" t="s">
        <v>90</v>
      </c>
      <c r="C82" s="35">
        <v>99.78</v>
      </c>
      <c r="D82" s="14">
        <v>24.945</v>
      </c>
      <c r="E82" s="14"/>
      <c r="F82" s="14">
        <v>24.945</v>
      </c>
      <c r="G82" s="14"/>
      <c r="H82" s="14">
        <v>24.945</v>
      </c>
      <c r="I82" s="14">
        <v>24.945</v>
      </c>
      <c r="J82" s="14"/>
      <c r="K82" s="14"/>
      <c r="L82" s="14"/>
      <c r="M82" s="14"/>
      <c r="N82" s="14"/>
      <c r="O82" s="14"/>
      <c r="P82" s="14"/>
      <c r="Q82" s="14">
        <f t="shared" si="16"/>
        <v>99.78</v>
      </c>
    </row>
    <row r="83" spans="1:18" x14ac:dyDescent="0.3">
      <c r="A83" s="12">
        <v>68</v>
      </c>
      <c r="B83" s="13" t="s">
        <v>91</v>
      </c>
      <c r="C83" s="32">
        <v>0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5"/>
      <c r="Q83" s="14"/>
    </row>
    <row r="84" spans="1:18" ht="48" customHeight="1" x14ac:dyDescent="0.3">
      <c r="A84" s="11"/>
      <c r="B84" s="55" t="s">
        <v>92</v>
      </c>
      <c r="C84" s="34">
        <f>SUM(C85:C88)</f>
        <v>92.5</v>
      </c>
      <c r="D84" s="16">
        <f t="shared" ref="D84:P84" si="17">SUM(D85:D88)</f>
        <v>3.75</v>
      </c>
      <c r="E84" s="16">
        <f t="shared" si="17"/>
        <v>3.75</v>
      </c>
      <c r="F84" s="16">
        <f t="shared" si="17"/>
        <v>3.75</v>
      </c>
      <c r="G84" s="16">
        <f t="shared" si="17"/>
        <v>3.75</v>
      </c>
      <c r="H84" s="16">
        <f t="shared" si="17"/>
        <v>3.75</v>
      </c>
      <c r="I84" s="16">
        <f t="shared" si="17"/>
        <v>3.75</v>
      </c>
      <c r="J84" s="16">
        <f t="shared" si="17"/>
        <v>3.75</v>
      </c>
      <c r="K84" s="16">
        <f t="shared" si="17"/>
        <v>3.75</v>
      </c>
      <c r="L84" s="16">
        <f t="shared" si="17"/>
        <v>3.75</v>
      </c>
      <c r="M84" s="16">
        <f t="shared" si="17"/>
        <v>3.75</v>
      </c>
      <c r="N84" s="16">
        <f t="shared" si="17"/>
        <v>3.75</v>
      </c>
      <c r="O84" s="16">
        <f t="shared" si="17"/>
        <v>3.75</v>
      </c>
      <c r="P84" s="16">
        <f t="shared" si="17"/>
        <v>47.5</v>
      </c>
      <c r="Q84" s="14">
        <f t="shared" si="14"/>
        <v>92.5</v>
      </c>
    </row>
    <row r="85" spans="1:18" x14ac:dyDescent="0.3">
      <c r="A85" s="12">
        <v>69</v>
      </c>
      <c r="B85" s="13" t="s">
        <v>93</v>
      </c>
      <c r="C85" s="32">
        <v>48.75</v>
      </c>
      <c r="D85" s="14">
        <v>3.75</v>
      </c>
      <c r="E85" s="14">
        <v>3.75</v>
      </c>
      <c r="F85" s="14">
        <v>3.75</v>
      </c>
      <c r="G85" s="14">
        <v>3.75</v>
      </c>
      <c r="H85" s="14">
        <v>3.75</v>
      </c>
      <c r="I85" s="14">
        <v>3.75</v>
      </c>
      <c r="J85" s="14">
        <v>3.75</v>
      </c>
      <c r="K85" s="14">
        <v>3.75</v>
      </c>
      <c r="L85" s="14">
        <v>3.75</v>
      </c>
      <c r="M85" s="14">
        <v>3.75</v>
      </c>
      <c r="N85" s="14">
        <v>3.75</v>
      </c>
      <c r="O85" s="14">
        <v>3.75</v>
      </c>
      <c r="P85" s="14">
        <v>3.75</v>
      </c>
      <c r="Q85" s="14">
        <f t="shared" si="14"/>
        <v>48.75</v>
      </c>
    </row>
    <row r="86" spans="1:18" ht="21.75" customHeight="1" x14ac:dyDescent="0.3">
      <c r="A86" s="12">
        <v>70</v>
      </c>
      <c r="B86" s="13" t="s">
        <v>94</v>
      </c>
      <c r="C86" s="32">
        <v>0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5"/>
      <c r="Q86" s="14">
        <f t="shared" si="14"/>
        <v>0</v>
      </c>
    </row>
    <row r="87" spans="1:18" x14ac:dyDescent="0.3">
      <c r="A87" s="12">
        <v>71</v>
      </c>
      <c r="B87" s="13" t="s">
        <v>95</v>
      </c>
      <c r="C87" s="32">
        <v>0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5"/>
      <c r="Q87" s="14">
        <f t="shared" si="14"/>
        <v>0</v>
      </c>
    </row>
    <row r="88" spans="1:18" x14ac:dyDescent="0.3">
      <c r="A88" s="12">
        <v>72</v>
      </c>
      <c r="B88" s="13" t="s">
        <v>96</v>
      </c>
      <c r="C88" s="32">
        <v>43.75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5">
        <v>43.75</v>
      </c>
      <c r="Q88" s="14">
        <f t="shared" si="14"/>
        <v>43.75</v>
      </c>
    </row>
    <row r="89" spans="1:18" ht="31.2" x14ac:dyDescent="0.3">
      <c r="A89" s="11"/>
      <c r="B89" s="55" t="s">
        <v>97</v>
      </c>
      <c r="C89" s="30">
        <f>SUM(C90:C101)</f>
        <v>2009.42</v>
      </c>
      <c r="D89" s="16">
        <f t="shared" ref="D89:P89" si="18">SUM(D90:D101)</f>
        <v>114</v>
      </c>
      <c r="E89" s="16">
        <f t="shared" si="18"/>
        <v>114</v>
      </c>
      <c r="F89" s="16">
        <f t="shared" si="18"/>
        <v>114</v>
      </c>
      <c r="G89" s="16">
        <f t="shared" si="18"/>
        <v>114</v>
      </c>
      <c r="H89" s="16">
        <f t="shared" si="18"/>
        <v>114</v>
      </c>
      <c r="I89" s="16">
        <f t="shared" si="18"/>
        <v>114</v>
      </c>
      <c r="J89" s="16">
        <f t="shared" si="18"/>
        <v>114</v>
      </c>
      <c r="K89" s="16">
        <f t="shared" si="18"/>
        <v>114</v>
      </c>
      <c r="L89" s="16">
        <f t="shared" si="18"/>
        <v>114</v>
      </c>
      <c r="M89" s="16">
        <f t="shared" si="18"/>
        <v>114</v>
      </c>
      <c r="N89" s="16">
        <f t="shared" si="18"/>
        <v>114</v>
      </c>
      <c r="O89" s="16">
        <f t="shared" si="18"/>
        <v>114</v>
      </c>
      <c r="P89" s="16">
        <f t="shared" si="18"/>
        <v>641.41999999999996</v>
      </c>
      <c r="Q89" s="14">
        <f t="shared" si="14"/>
        <v>2009.42</v>
      </c>
    </row>
    <row r="90" spans="1:18" x14ac:dyDescent="0.3">
      <c r="A90" s="12">
        <v>73.099999999999994</v>
      </c>
      <c r="B90" s="13" t="s">
        <v>98</v>
      </c>
      <c r="C90" s="33">
        <v>969.23</v>
      </c>
      <c r="D90" s="14">
        <v>70</v>
      </c>
      <c r="E90" s="14">
        <v>70</v>
      </c>
      <c r="F90" s="14">
        <v>70</v>
      </c>
      <c r="G90" s="14">
        <v>70</v>
      </c>
      <c r="H90" s="14">
        <v>70</v>
      </c>
      <c r="I90" s="14">
        <v>70</v>
      </c>
      <c r="J90" s="14">
        <v>70</v>
      </c>
      <c r="K90" s="14">
        <v>70</v>
      </c>
      <c r="L90" s="14">
        <v>70</v>
      </c>
      <c r="M90" s="14">
        <v>70</v>
      </c>
      <c r="N90" s="14">
        <v>70</v>
      </c>
      <c r="O90" s="14">
        <v>70</v>
      </c>
      <c r="P90" s="14">
        <v>129.22999999999999</v>
      </c>
      <c r="Q90" s="14">
        <f t="shared" si="14"/>
        <v>969.23</v>
      </c>
      <c r="R90" s="72"/>
    </row>
    <row r="91" spans="1:18" x14ac:dyDescent="0.3">
      <c r="A91" s="12">
        <v>73.2</v>
      </c>
      <c r="B91" s="13" t="s">
        <v>99</v>
      </c>
      <c r="C91" s="3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>
        <f t="shared" si="14"/>
        <v>0</v>
      </c>
    </row>
    <row r="92" spans="1:18" x14ac:dyDescent="0.3">
      <c r="A92" s="12">
        <v>73.3</v>
      </c>
      <c r="B92" s="13" t="s">
        <v>100</v>
      </c>
      <c r="C92" s="32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>
        <f t="shared" si="14"/>
        <v>0</v>
      </c>
    </row>
    <row r="93" spans="1:18" x14ac:dyDescent="0.3">
      <c r="A93" s="12">
        <v>73.400000000000006</v>
      </c>
      <c r="B93" s="13" t="s">
        <v>101</v>
      </c>
      <c r="C93" s="32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>
        <f t="shared" si="14"/>
        <v>0</v>
      </c>
    </row>
    <row r="94" spans="1:18" x14ac:dyDescent="0.3">
      <c r="A94" s="12">
        <v>74</v>
      </c>
      <c r="B94" s="13" t="s">
        <v>102</v>
      </c>
      <c r="C94" s="32">
        <v>190.38</v>
      </c>
      <c r="D94" s="14">
        <v>12</v>
      </c>
      <c r="E94" s="14">
        <v>12</v>
      </c>
      <c r="F94" s="14">
        <v>12</v>
      </c>
      <c r="G94" s="14">
        <v>12</v>
      </c>
      <c r="H94" s="14">
        <v>12</v>
      </c>
      <c r="I94" s="14">
        <v>12</v>
      </c>
      <c r="J94" s="14">
        <v>12</v>
      </c>
      <c r="K94" s="14">
        <v>12</v>
      </c>
      <c r="L94" s="14">
        <v>12</v>
      </c>
      <c r="M94" s="14">
        <v>12</v>
      </c>
      <c r="N94" s="14">
        <v>12</v>
      </c>
      <c r="O94" s="14">
        <v>12</v>
      </c>
      <c r="P94" s="14">
        <v>46.38</v>
      </c>
      <c r="Q94" s="14">
        <f t="shared" si="14"/>
        <v>190.38</v>
      </c>
      <c r="R94" s="72"/>
    </row>
    <row r="95" spans="1:18" x14ac:dyDescent="0.3">
      <c r="A95" s="12">
        <v>75.099999999999994</v>
      </c>
      <c r="B95" s="13" t="s">
        <v>103</v>
      </c>
      <c r="C95" s="32">
        <v>112.2</v>
      </c>
      <c r="D95" s="14">
        <v>7</v>
      </c>
      <c r="E95" s="14">
        <v>7</v>
      </c>
      <c r="F95" s="14">
        <v>7</v>
      </c>
      <c r="G95" s="14">
        <v>7</v>
      </c>
      <c r="H95" s="14">
        <v>7</v>
      </c>
      <c r="I95" s="14">
        <v>7</v>
      </c>
      <c r="J95" s="14">
        <v>7</v>
      </c>
      <c r="K95" s="14">
        <v>7</v>
      </c>
      <c r="L95" s="14">
        <v>7</v>
      </c>
      <c r="M95" s="14">
        <v>7</v>
      </c>
      <c r="N95" s="14">
        <v>7</v>
      </c>
      <c r="O95" s="14">
        <v>7</v>
      </c>
      <c r="P95" s="14">
        <v>28.2</v>
      </c>
      <c r="Q95" s="14">
        <f t="shared" si="14"/>
        <v>112.2</v>
      </c>
      <c r="R95" s="72"/>
    </row>
    <row r="96" spans="1:18" x14ac:dyDescent="0.3">
      <c r="A96" s="12">
        <v>75.2</v>
      </c>
      <c r="B96" s="13" t="s">
        <v>104</v>
      </c>
      <c r="C96" s="32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>
        <f t="shared" si="14"/>
        <v>0</v>
      </c>
      <c r="R96" s="72"/>
    </row>
    <row r="97" spans="1:18" x14ac:dyDescent="0.3">
      <c r="A97" s="12">
        <v>76</v>
      </c>
      <c r="B97" s="13" t="s">
        <v>105</v>
      </c>
      <c r="C97" s="32">
        <v>123.51</v>
      </c>
      <c r="D97" s="14">
        <v>7</v>
      </c>
      <c r="E97" s="14">
        <v>7</v>
      </c>
      <c r="F97" s="14">
        <v>7</v>
      </c>
      <c r="G97" s="14">
        <v>7</v>
      </c>
      <c r="H97" s="14">
        <v>7</v>
      </c>
      <c r="I97" s="14">
        <v>7</v>
      </c>
      <c r="J97" s="14">
        <v>7</v>
      </c>
      <c r="K97" s="14">
        <v>7</v>
      </c>
      <c r="L97" s="14">
        <v>7</v>
      </c>
      <c r="M97" s="14">
        <v>7</v>
      </c>
      <c r="N97" s="14">
        <v>7</v>
      </c>
      <c r="O97" s="14">
        <v>7</v>
      </c>
      <c r="P97" s="14">
        <v>39.51</v>
      </c>
      <c r="Q97" s="14">
        <f t="shared" si="14"/>
        <v>123.50999999999999</v>
      </c>
      <c r="R97" s="72"/>
    </row>
    <row r="98" spans="1:18" x14ac:dyDescent="0.3">
      <c r="A98" s="12">
        <v>77</v>
      </c>
      <c r="B98" s="13" t="s">
        <v>106</v>
      </c>
      <c r="C98" s="32">
        <v>470.85</v>
      </c>
      <c r="D98" s="14">
        <v>10</v>
      </c>
      <c r="E98" s="14">
        <v>10</v>
      </c>
      <c r="F98" s="14">
        <v>10</v>
      </c>
      <c r="G98" s="14">
        <v>10</v>
      </c>
      <c r="H98" s="14">
        <v>10</v>
      </c>
      <c r="I98" s="14">
        <v>10</v>
      </c>
      <c r="J98" s="14">
        <v>10</v>
      </c>
      <c r="K98" s="14">
        <v>10</v>
      </c>
      <c r="L98" s="14">
        <v>10</v>
      </c>
      <c r="M98" s="14">
        <v>10</v>
      </c>
      <c r="N98" s="14">
        <v>10</v>
      </c>
      <c r="O98" s="14">
        <v>10</v>
      </c>
      <c r="P98" s="14">
        <v>350.85</v>
      </c>
      <c r="Q98" s="14">
        <f t="shared" si="14"/>
        <v>470.85</v>
      </c>
      <c r="R98" s="72"/>
    </row>
    <row r="99" spans="1:18" x14ac:dyDescent="0.3">
      <c r="A99" s="12">
        <v>78</v>
      </c>
      <c r="B99" s="13" t="s">
        <v>107</v>
      </c>
      <c r="C99" s="32">
        <v>84</v>
      </c>
      <c r="D99" s="14">
        <v>5</v>
      </c>
      <c r="E99" s="14">
        <v>5</v>
      </c>
      <c r="F99" s="14">
        <v>5</v>
      </c>
      <c r="G99" s="14">
        <v>5</v>
      </c>
      <c r="H99" s="14">
        <v>5</v>
      </c>
      <c r="I99" s="14">
        <v>5</v>
      </c>
      <c r="J99" s="14">
        <v>5</v>
      </c>
      <c r="K99" s="14">
        <v>5</v>
      </c>
      <c r="L99" s="14">
        <v>5</v>
      </c>
      <c r="M99" s="14">
        <v>5</v>
      </c>
      <c r="N99" s="14">
        <v>5</v>
      </c>
      <c r="O99" s="14">
        <v>5</v>
      </c>
      <c r="P99" s="14">
        <v>24</v>
      </c>
      <c r="Q99" s="14">
        <f t="shared" si="14"/>
        <v>84</v>
      </c>
      <c r="R99" s="72"/>
    </row>
    <row r="100" spans="1:18" ht="22.5" customHeight="1" x14ac:dyDescent="0.3">
      <c r="A100" s="12">
        <v>79.099999999999994</v>
      </c>
      <c r="B100" s="13" t="s">
        <v>38</v>
      </c>
      <c r="C100" s="32">
        <v>59.25</v>
      </c>
      <c r="D100" s="14">
        <v>3</v>
      </c>
      <c r="E100" s="14">
        <v>3</v>
      </c>
      <c r="F100" s="14">
        <v>3</v>
      </c>
      <c r="G100" s="14">
        <v>3</v>
      </c>
      <c r="H100" s="14">
        <v>3</v>
      </c>
      <c r="I100" s="14">
        <v>3</v>
      </c>
      <c r="J100" s="14">
        <v>3</v>
      </c>
      <c r="K100" s="14">
        <v>3</v>
      </c>
      <c r="L100" s="14">
        <v>3</v>
      </c>
      <c r="M100" s="14">
        <v>3</v>
      </c>
      <c r="N100" s="14">
        <v>3</v>
      </c>
      <c r="O100" s="14">
        <v>3</v>
      </c>
      <c r="P100" s="14">
        <v>23.25</v>
      </c>
      <c r="Q100" s="14">
        <f t="shared" si="14"/>
        <v>59.25</v>
      </c>
      <c r="R100" s="72"/>
    </row>
    <row r="101" spans="1:18" x14ac:dyDescent="0.3">
      <c r="A101" s="12">
        <v>79.2</v>
      </c>
      <c r="B101" s="13" t="s">
        <v>108</v>
      </c>
      <c r="C101" s="32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5"/>
      <c r="Q101" s="14"/>
    </row>
    <row r="102" spans="1:18" ht="31.2" x14ac:dyDescent="0.3">
      <c r="A102" s="11"/>
      <c r="B102" s="54" t="s">
        <v>109</v>
      </c>
      <c r="C102" s="34">
        <f t="shared" ref="C102:P102" si="19">SUM(C103:C106)</f>
        <v>239.98000000000002</v>
      </c>
      <c r="D102" s="16">
        <f t="shared" si="19"/>
        <v>0.5</v>
      </c>
      <c r="E102" s="16">
        <f t="shared" si="19"/>
        <v>0.5</v>
      </c>
      <c r="F102" s="16">
        <f t="shared" si="19"/>
        <v>3</v>
      </c>
      <c r="G102" s="16">
        <f t="shared" si="19"/>
        <v>0.5</v>
      </c>
      <c r="H102" s="16">
        <f t="shared" si="19"/>
        <v>0.5</v>
      </c>
      <c r="I102" s="16">
        <f t="shared" si="19"/>
        <v>0.5</v>
      </c>
      <c r="J102" s="16">
        <f t="shared" si="19"/>
        <v>0.5</v>
      </c>
      <c r="K102" s="16">
        <f t="shared" si="19"/>
        <v>0.5</v>
      </c>
      <c r="L102" s="16">
        <f t="shared" si="19"/>
        <v>0.5</v>
      </c>
      <c r="M102" s="16">
        <f t="shared" si="19"/>
        <v>0.5</v>
      </c>
      <c r="N102" s="16">
        <f t="shared" si="19"/>
        <v>0.5</v>
      </c>
      <c r="O102" s="16">
        <f t="shared" si="19"/>
        <v>0.5</v>
      </c>
      <c r="P102" s="16">
        <f t="shared" si="19"/>
        <v>231.48000000000002</v>
      </c>
      <c r="Q102" s="69">
        <f t="shared" si="14"/>
        <v>239.98000000000002</v>
      </c>
    </row>
    <row r="103" spans="1:18" x14ac:dyDescent="0.3">
      <c r="A103" s="12">
        <v>80</v>
      </c>
      <c r="B103" s="13" t="s">
        <v>110</v>
      </c>
      <c r="C103" s="32">
        <v>38.61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5">
        <v>38.61</v>
      </c>
      <c r="Q103" s="14">
        <v>38.61</v>
      </c>
    </row>
    <row r="104" spans="1:18" x14ac:dyDescent="0.3">
      <c r="A104" s="12">
        <v>81</v>
      </c>
      <c r="B104" s="13" t="s">
        <v>111</v>
      </c>
      <c r="C104" s="32">
        <v>71.22</v>
      </c>
      <c r="D104" s="14"/>
      <c r="E104" s="14"/>
      <c r="F104" s="14">
        <v>1</v>
      </c>
      <c r="G104" s="14"/>
      <c r="H104" s="14"/>
      <c r="I104" s="14"/>
      <c r="J104" s="14"/>
      <c r="K104" s="14"/>
      <c r="L104" s="14"/>
      <c r="M104" s="14"/>
      <c r="N104" s="14"/>
      <c r="O104" s="14"/>
      <c r="P104" s="15">
        <v>70.22</v>
      </c>
      <c r="Q104" s="14">
        <v>71.22</v>
      </c>
    </row>
    <row r="105" spans="1:18" x14ac:dyDescent="0.3">
      <c r="A105" s="12">
        <v>82</v>
      </c>
      <c r="B105" s="13" t="s">
        <v>112</v>
      </c>
      <c r="C105" s="32">
        <v>11.2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5">
        <v>11.2</v>
      </c>
      <c r="Q105" s="14">
        <v>11.2</v>
      </c>
    </row>
    <row r="106" spans="1:18" x14ac:dyDescent="0.3">
      <c r="A106" s="12">
        <v>83</v>
      </c>
      <c r="B106" s="13" t="s">
        <v>113</v>
      </c>
      <c r="C106" s="32">
        <v>118.95</v>
      </c>
      <c r="D106" s="14">
        <v>0.5</v>
      </c>
      <c r="E106" s="14">
        <v>0.5</v>
      </c>
      <c r="F106" s="14">
        <v>2</v>
      </c>
      <c r="G106" s="14">
        <v>0.5</v>
      </c>
      <c r="H106" s="14">
        <v>0.5</v>
      </c>
      <c r="I106" s="14">
        <v>0.5</v>
      </c>
      <c r="J106" s="14">
        <v>0.5</v>
      </c>
      <c r="K106" s="14">
        <v>0.5</v>
      </c>
      <c r="L106" s="14">
        <v>0.5</v>
      </c>
      <c r="M106" s="14">
        <v>0.5</v>
      </c>
      <c r="N106" s="14">
        <v>0.5</v>
      </c>
      <c r="O106" s="14">
        <v>0.5</v>
      </c>
      <c r="P106" s="15">
        <v>111.45</v>
      </c>
      <c r="Q106" s="14">
        <v>118.95</v>
      </c>
    </row>
    <row r="107" spans="1:18" ht="31.2" x14ac:dyDescent="0.3">
      <c r="A107" s="11">
        <v>84</v>
      </c>
      <c r="B107" s="54" t="s">
        <v>114</v>
      </c>
      <c r="C107" s="37">
        <v>43.55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5">
        <v>43.55</v>
      </c>
      <c r="Q107" s="14">
        <v>43.35</v>
      </c>
    </row>
    <row r="108" spans="1:18" ht="46.8" x14ac:dyDescent="0.3">
      <c r="A108" s="11">
        <v>85</v>
      </c>
      <c r="B108" s="54" t="s">
        <v>115</v>
      </c>
      <c r="C108" s="37">
        <v>0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5"/>
      <c r="Q108" s="14"/>
    </row>
    <row r="109" spans="1:18" ht="31.2" x14ac:dyDescent="0.3">
      <c r="A109" s="11">
        <v>86</v>
      </c>
      <c r="B109" s="54" t="s">
        <v>116</v>
      </c>
      <c r="C109" s="37">
        <v>0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5"/>
      <c r="Q109" s="14"/>
    </row>
    <row r="110" spans="1:18" ht="31.2" x14ac:dyDescent="0.3">
      <c r="A110" s="18" t="s">
        <v>117</v>
      </c>
      <c r="B110" s="57" t="s">
        <v>118</v>
      </c>
      <c r="C110" s="36">
        <f>C111+C122+C125+C131+C135+C141+C145+C150+C151+C152+C156</f>
        <v>1836.56</v>
      </c>
      <c r="D110" s="10">
        <f t="shared" ref="D110:P110" si="20">D111+D122+D125+D131+D135+D141+D145+D150+D151+D152+D156</f>
        <v>53.167600000000007</v>
      </c>
      <c r="E110" s="10">
        <f t="shared" si="20"/>
        <v>44.208600000000004</v>
      </c>
      <c r="F110" s="10">
        <f t="shared" si="20"/>
        <v>41.962600000000009</v>
      </c>
      <c r="G110" s="10">
        <f t="shared" si="20"/>
        <v>36.373600000000003</v>
      </c>
      <c r="H110" s="10">
        <f t="shared" si="20"/>
        <v>58.780600000000007</v>
      </c>
      <c r="I110" s="10">
        <f t="shared" si="20"/>
        <v>57.193600000000004</v>
      </c>
      <c r="J110" s="10">
        <f t="shared" si="20"/>
        <v>32.65100000000001</v>
      </c>
      <c r="K110" s="10">
        <f t="shared" si="20"/>
        <v>36.354600000000005</v>
      </c>
      <c r="L110" s="10">
        <f t="shared" si="20"/>
        <v>43.515600000000006</v>
      </c>
      <c r="M110" s="10">
        <f t="shared" si="20"/>
        <v>47.033600000000007</v>
      </c>
      <c r="N110" s="10">
        <f t="shared" si="20"/>
        <v>50.380600000000001</v>
      </c>
      <c r="O110" s="10">
        <f t="shared" si="20"/>
        <v>53.277600000000007</v>
      </c>
      <c r="P110" s="10">
        <f t="shared" si="20"/>
        <v>1281.8058999999998</v>
      </c>
      <c r="Q110" s="14">
        <f t="shared" si="14"/>
        <v>1836.7055</v>
      </c>
    </row>
    <row r="111" spans="1:18" ht="46.8" x14ac:dyDescent="0.3">
      <c r="A111" s="11"/>
      <c r="B111" s="54" t="s">
        <v>119</v>
      </c>
      <c r="C111" s="30">
        <f>SUM(C112:C121)</f>
        <v>336</v>
      </c>
      <c r="D111" s="16">
        <f t="shared" ref="D111:P111" si="21">SUM(D112:D121)</f>
        <v>4.9000000000000004</v>
      </c>
      <c r="E111" s="16">
        <f t="shared" si="21"/>
        <v>0</v>
      </c>
      <c r="F111" s="16">
        <f t="shared" si="21"/>
        <v>1.3</v>
      </c>
      <c r="G111" s="16">
        <f t="shared" si="21"/>
        <v>3.5</v>
      </c>
      <c r="H111" s="16">
        <f t="shared" si="21"/>
        <v>0</v>
      </c>
      <c r="I111" s="16">
        <f t="shared" si="21"/>
        <v>1.3</v>
      </c>
      <c r="J111" s="16">
        <f t="shared" si="21"/>
        <v>0</v>
      </c>
      <c r="K111" s="16">
        <f t="shared" si="21"/>
        <v>1</v>
      </c>
      <c r="L111" s="16">
        <f t="shared" si="21"/>
        <v>3.5</v>
      </c>
      <c r="M111" s="16">
        <f t="shared" si="21"/>
        <v>0</v>
      </c>
      <c r="N111" s="16">
        <f t="shared" si="21"/>
        <v>1</v>
      </c>
      <c r="O111" s="16">
        <f t="shared" si="21"/>
        <v>4.5</v>
      </c>
      <c r="P111" s="16">
        <f t="shared" si="21"/>
        <v>315</v>
      </c>
      <c r="Q111" s="14">
        <f t="shared" si="14"/>
        <v>336</v>
      </c>
    </row>
    <row r="112" spans="1:18" x14ac:dyDescent="0.3">
      <c r="A112" s="12">
        <v>87</v>
      </c>
      <c r="B112" s="13" t="s">
        <v>120</v>
      </c>
      <c r="C112" s="35">
        <v>66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7">
        <v>66</v>
      </c>
      <c r="Q112" s="14">
        <f t="shared" si="14"/>
        <v>66</v>
      </c>
    </row>
    <row r="113" spans="1:17" x14ac:dyDescent="0.3">
      <c r="A113" s="12">
        <v>88</v>
      </c>
      <c r="B113" s="13" t="s">
        <v>121</v>
      </c>
      <c r="C113" s="35">
        <v>132</v>
      </c>
      <c r="D113" s="14">
        <v>3.5</v>
      </c>
      <c r="E113" s="14"/>
      <c r="F113" s="14"/>
      <c r="G113" s="14">
        <v>3.5</v>
      </c>
      <c r="H113" s="14"/>
      <c r="I113" s="14"/>
      <c r="J113" s="14"/>
      <c r="K113" s="14"/>
      <c r="L113" s="14">
        <v>3.5</v>
      </c>
      <c r="M113" s="14"/>
      <c r="N113" s="14"/>
      <c r="O113" s="14">
        <v>3.5</v>
      </c>
      <c r="P113" s="14">
        <f>C113-SUM(D113:O113)</f>
        <v>118</v>
      </c>
      <c r="Q113" s="14">
        <f t="shared" si="14"/>
        <v>132</v>
      </c>
    </row>
    <row r="114" spans="1:17" x14ac:dyDescent="0.3">
      <c r="A114" s="12">
        <v>89</v>
      </c>
      <c r="B114" s="13" t="s">
        <v>122</v>
      </c>
      <c r="C114" s="32">
        <v>0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5"/>
      <c r="Q114" s="14">
        <f t="shared" si="14"/>
        <v>0</v>
      </c>
    </row>
    <row r="115" spans="1:17" x14ac:dyDescent="0.3">
      <c r="A115" s="12">
        <v>90</v>
      </c>
      <c r="B115" s="13" t="s">
        <v>123</v>
      </c>
      <c r="C115" s="32">
        <v>0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5"/>
      <c r="Q115" s="14">
        <f t="shared" si="14"/>
        <v>0</v>
      </c>
    </row>
    <row r="116" spans="1:17" x14ac:dyDescent="0.3">
      <c r="A116" s="12">
        <v>91</v>
      </c>
      <c r="B116" s="13" t="s">
        <v>124</v>
      </c>
      <c r="C116" s="32">
        <v>0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5"/>
      <c r="Q116" s="14">
        <f t="shared" si="14"/>
        <v>0</v>
      </c>
    </row>
    <row r="117" spans="1:17" ht="31.2" x14ac:dyDescent="0.3">
      <c r="A117" s="12">
        <v>92</v>
      </c>
      <c r="B117" s="13" t="s">
        <v>125</v>
      </c>
      <c r="C117" s="32">
        <v>0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5"/>
      <c r="Q117" s="14">
        <f t="shared" si="14"/>
        <v>0</v>
      </c>
    </row>
    <row r="118" spans="1:17" x14ac:dyDescent="0.3">
      <c r="A118" s="12">
        <v>93</v>
      </c>
      <c r="B118" s="13" t="s">
        <v>126</v>
      </c>
      <c r="C118" s="35">
        <v>17.5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7">
        <v>17.5</v>
      </c>
      <c r="Q118" s="14">
        <f t="shared" si="14"/>
        <v>17.5</v>
      </c>
    </row>
    <row r="119" spans="1:17" x14ac:dyDescent="0.3">
      <c r="A119" s="12">
        <v>94</v>
      </c>
      <c r="B119" s="13" t="s">
        <v>127</v>
      </c>
      <c r="C119" s="35">
        <v>17.5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7">
        <v>17.5</v>
      </c>
      <c r="Q119" s="14">
        <f t="shared" si="14"/>
        <v>17.5</v>
      </c>
    </row>
    <row r="120" spans="1:17" ht="31.2" x14ac:dyDescent="0.3">
      <c r="A120" s="12">
        <v>95</v>
      </c>
      <c r="B120" s="13" t="s">
        <v>128</v>
      </c>
      <c r="C120" s="35">
        <v>91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7">
        <v>91</v>
      </c>
      <c r="Q120" s="14">
        <f t="shared" si="14"/>
        <v>91</v>
      </c>
    </row>
    <row r="121" spans="1:17" x14ac:dyDescent="0.3">
      <c r="A121" s="12">
        <v>96</v>
      </c>
      <c r="B121" s="13" t="s">
        <v>129</v>
      </c>
      <c r="C121" s="31">
        <v>12</v>
      </c>
      <c r="D121" s="14">
        <v>1.4</v>
      </c>
      <c r="E121" s="14"/>
      <c r="F121" s="14">
        <v>1.3</v>
      </c>
      <c r="G121" s="14"/>
      <c r="H121" s="14"/>
      <c r="I121" s="14">
        <v>1.3</v>
      </c>
      <c r="J121" s="14"/>
      <c r="K121" s="14">
        <v>1</v>
      </c>
      <c r="L121" s="14"/>
      <c r="M121" s="14"/>
      <c r="N121" s="14">
        <v>1</v>
      </c>
      <c r="O121" s="14">
        <v>1</v>
      </c>
      <c r="P121" s="17">
        <f>3+2</f>
        <v>5</v>
      </c>
      <c r="Q121" s="14">
        <f>SUM(D121:P121)</f>
        <v>12</v>
      </c>
    </row>
    <row r="122" spans="1:17" ht="31.2" x14ac:dyDescent="0.3">
      <c r="A122" s="11"/>
      <c r="B122" s="55" t="s">
        <v>130</v>
      </c>
      <c r="C122" s="34">
        <f>SUM(C123:C124)</f>
        <v>140.91999999999999</v>
      </c>
      <c r="D122" s="16">
        <f t="shared" ref="D122:P122" si="22">SUM(D123:D124)</f>
        <v>0.4</v>
      </c>
      <c r="E122" s="16">
        <f t="shared" si="22"/>
        <v>0.4</v>
      </c>
      <c r="F122" s="16">
        <f t="shared" si="22"/>
        <v>0.4</v>
      </c>
      <c r="G122" s="16">
        <f t="shared" si="22"/>
        <v>0.4</v>
      </c>
      <c r="H122" s="16">
        <f t="shared" si="22"/>
        <v>0.4</v>
      </c>
      <c r="I122" s="16">
        <f t="shared" si="22"/>
        <v>0.4</v>
      </c>
      <c r="J122" s="16">
        <f t="shared" si="22"/>
        <v>0.4</v>
      </c>
      <c r="K122" s="16">
        <f t="shared" si="22"/>
        <v>0.4</v>
      </c>
      <c r="L122" s="16">
        <f t="shared" si="22"/>
        <v>0.4</v>
      </c>
      <c r="M122" s="16">
        <f t="shared" si="22"/>
        <v>0.4</v>
      </c>
      <c r="N122" s="16">
        <f t="shared" si="22"/>
        <v>0.4</v>
      </c>
      <c r="O122" s="16">
        <f t="shared" si="22"/>
        <v>0.4</v>
      </c>
      <c r="P122" s="16">
        <f t="shared" si="22"/>
        <v>136.12</v>
      </c>
      <c r="Q122" s="14">
        <f t="shared" si="14"/>
        <v>140.92000000000002</v>
      </c>
    </row>
    <row r="123" spans="1:17" x14ac:dyDescent="0.3">
      <c r="A123" s="12">
        <v>97</v>
      </c>
      <c r="B123" s="13" t="s">
        <v>131</v>
      </c>
      <c r="C123" s="32">
        <v>140.91999999999999</v>
      </c>
      <c r="D123" s="14">
        <v>0.4</v>
      </c>
      <c r="E123" s="14">
        <v>0.4</v>
      </c>
      <c r="F123" s="14">
        <v>0.4</v>
      </c>
      <c r="G123" s="14">
        <v>0.4</v>
      </c>
      <c r="H123" s="14">
        <v>0.4</v>
      </c>
      <c r="I123" s="14">
        <v>0.4</v>
      </c>
      <c r="J123" s="14">
        <v>0.4</v>
      </c>
      <c r="K123" s="14">
        <v>0.4</v>
      </c>
      <c r="L123" s="14">
        <v>0.4</v>
      </c>
      <c r="M123" s="14">
        <v>0.4</v>
      </c>
      <c r="N123" s="14">
        <v>0.4</v>
      </c>
      <c r="O123" s="14">
        <v>0.4</v>
      </c>
      <c r="P123" s="14">
        <v>136.12</v>
      </c>
      <c r="Q123" s="14">
        <f t="shared" si="14"/>
        <v>140.92000000000002</v>
      </c>
    </row>
    <row r="124" spans="1:17" ht="22.5" customHeight="1" x14ac:dyDescent="0.3">
      <c r="A124" s="12">
        <v>98</v>
      </c>
      <c r="B124" s="13" t="s">
        <v>38</v>
      </c>
      <c r="C124" s="32">
        <v>0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5"/>
      <c r="Q124" s="14"/>
    </row>
    <row r="125" spans="1:17" ht="31.2" x14ac:dyDescent="0.3">
      <c r="A125" s="11"/>
      <c r="B125" s="54" t="s">
        <v>132</v>
      </c>
      <c r="C125" s="34">
        <f>SUM(C126:C130)</f>
        <v>42.459999999999994</v>
      </c>
      <c r="D125" s="16">
        <f t="shared" ref="D125:P125" si="23">SUM(D126:D130)</f>
        <v>2.8860000000000001</v>
      </c>
      <c r="E125" s="16">
        <f t="shared" si="23"/>
        <v>1.55</v>
      </c>
      <c r="F125" s="16">
        <f t="shared" si="23"/>
        <v>2.0840000000000001</v>
      </c>
      <c r="G125" s="16">
        <f t="shared" si="23"/>
        <v>1.0149999999999999</v>
      </c>
      <c r="H125" s="16">
        <f t="shared" si="23"/>
        <v>2.778</v>
      </c>
      <c r="I125" s="16">
        <f t="shared" si="23"/>
        <v>2.298</v>
      </c>
      <c r="J125" s="16">
        <f t="shared" si="23"/>
        <v>1.3360000000000001</v>
      </c>
      <c r="K125" s="16">
        <f t="shared" si="23"/>
        <v>1.3880000000000001</v>
      </c>
      <c r="L125" s="16">
        <f t="shared" si="23"/>
        <v>2.4580000000000002</v>
      </c>
      <c r="M125" s="16">
        <f t="shared" si="23"/>
        <v>1.9240000000000002</v>
      </c>
      <c r="N125" s="16">
        <f t="shared" si="23"/>
        <v>2.0310000000000001</v>
      </c>
      <c r="O125" s="16">
        <f t="shared" si="23"/>
        <v>2.3080000000000003</v>
      </c>
      <c r="P125" s="16">
        <f t="shared" si="23"/>
        <v>18.649999999999999</v>
      </c>
      <c r="Q125" s="14">
        <f t="shared" si="14"/>
        <v>42.705999999999996</v>
      </c>
    </row>
    <row r="126" spans="1:17" x14ac:dyDescent="0.3">
      <c r="A126" s="12">
        <v>99</v>
      </c>
      <c r="B126" s="13" t="s">
        <v>133</v>
      </c>
      <c r="C126" s="32">
        <v>15.91</v>
      </c>
      <c r="D126" s="14">
        <v>0.192</v>
      </c>
      <c r="E126" s="14">
        <v>0.192</v>
      </c>
      <c r="F126" s="14">
        <v>0.192</v>
      </c>
      <c r="G126" s="14">
        <v>0.192</v>
      </c>
      <c r="H126" s="14">
        <v>0.192</v>
      </c>
      <c r="I126" s="14">
        <v>0.192</v>
      </c>
      <c r="J126" s="14">
        <v>0.192</v>
      </c>
      <c r="K126" s="14">
        <v>0.192</v>
      </c>
      <c r="L126" s="14">
        <v>0.192</v>
      </c>
      <c r="M126" s="14">
        <v>0.192</v>
      </c>
      <c r="N126" s="14">
        <v>0.192</v>
      </c>
      <c r="O126" s="14">
        <v>0.192</v>
      </c>
      <c r="P126" s="15">
        <v>13.6</v>
      </c>
      <c r="Q126" s="14">
        <f t="shared" si="14"/>
        <v>15.904</v>
      </c>
    </row>
    <row r="127" spans="1:17" x14ac:dyDescent="0.3">
      <c r="A127" s="12">
        <v>100</v>
      </c>
      <c r="B127" s="13" t="s">
        <v>134</v>
      </c>
      <c r="C127" s="32">
        <v>2.36</v>
      </c>
      <c r="D127" s="14">
        <v>0.19600000000000001</v>
      </c>
      <c r="E127" s="14">
        <v>0.19600000000000001</v>
      </c>
      <c r="F127" s="14">
        <v>0.19600000000000001</v>
      </c>
      <c r="G127" s="14">
        <v>0.19600000000000001</v>
      </c>
      <c r="H127" s="14">
        <v>0.19600000000000001</v>
      </c>
      <c r="I127" s="14">
        <v>0.19600000000000001</v>
      </c>
      <c r="J127" s="14">
        <v>0.19600000000000001</v>
      </c>
      <c r="K127" s="14">
        <v>0.19600000000000001</v>
      </c>
      <c r="L127" s="14">
        <v>0.19600000000000001</v>
      </c>
      <c r="M127" s="14">
        <v>0.19600000000000001</v>
      </c>
      <c r="N127" s="14">
        <v>0.19600000000000001</v>
      </c>
      <c r="O127" s="14">
        <v>0.19600000000000001</v>
      </c>
      <c r="P127" s="15"/>
      <c r="Q127" s="14">
        <f t="shared" si="14"/>
        <v>2.3519999999999999</v>
      </c>
    </row>
    <row r="128" spans="1:17" x14ac:dyDescent="0.3">
      <c r="A128" s="12">
        <v>101</v>
      </c>
      <c r="B128" s="13" t="s">
        <v>135</v>
      </c>
      <c r="C128" s="32">
        <v>17</v>
      </c>
      <c r="D128" s="14">
        <v>2.298</v>
      </c>
      <c r="E128" s="14">
        <v>0.96199999999999997</v>
      </c>
      <c r="F128" s="14">
        <v>1.496</v>
      </c>
      <c r="G128" s="14">
        <v>0.42699999999999999</v>
      </c>
      <c r="H128" s="14">
        <v>2.19</v>
      </c>
      <c r="I128" s="14">
        <v>1.71</v>
      </c>
      <c r="J128" s="14">
        <v>0.748</v>
      </c>
      <c r="K128" s="14">
        <v>0.8</v>
      </c>
      <c r="L128" s="14">
        <v>1.87</v>
      </c>
      <c r="M128" s="14">
        <v>1.3360000000000001</v>
      </c>
      <c r="N128" s="14">
        <v>1.4430000000000001</v>
      </c>
      <c r="O128" s="14">
        <v>1.72</v>
      </c>
      <c r="P128" s="15"/>
      <c r="Q128" s="14">
        <f t="shared" si="14"/>
        <v>16.999999999999996</v>
      </c>
    </row>
    <row r="129" spans="1:18" x14ac:dyDescent="0.3">
      <c r="A129" s="12">
        <v>102</v>
      </c>
      <c r="B129" s="13" t="s">
        <v>136</v>
      </c>
      <c r="C129" s="32">
        <v>7.19</v>
      </c>
      <c r="D129" s="14">
        <v>0.2</v>
      </c>
      <c r="E129" s="14">
        <v>0.2</v>
      </c>
      <c r="F129" s="14">
        <v>0.2</v>
      </c>
      <c r="G129" s="14">
        <v>0.2</v>
      </c>
      <c r="H129" s="14">
        <v>0.2</v>
      </c>
      <c r="I129" s="14">
        <v>0.2</v>
      </c>
      <c r="J129" s="14">
        <v>0.2</v>
      </c>
      <c r="K129" s="14">
        <v>0.2</v>
      </c>
      <c r="L129" s="14">
        <v>0.2</v>
      </c>
      <c r="M129" s="14">
        <v>0.2</v>
      </c>
      <c r="N129" s="14">
        <v>0.2</v>
      </c>
      <c r="O129" s="14">
        <v>0.2</v>
      </c>
      <c r="P129" s="15">
        <v>5.05</v>
      </c>
      <c r="Q129" s="14">
        <f t="shared" si="14"/>
        <v>7.4499999999999993</v>
      </c>
    </row>
    <row r="130" spans="1:18" ht="21.75" customHeight="1" x14ac:dyDescent="0.3">
      <c r="A130" s="12">
        <v>103</v>
      </c>
      <c r="B130" s="13" t="s">
        <v>38</v>
      </c>
      <c r="C130" s="32">
        <v>0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5"/>
      <c r="Q130" s="14">
        <f t="shared" si="14"/>
        <v>0</v>
      </c>
    </row>
    <row r="131" spans="1:18" ht="31.2" x14ac:dyDescent="0.3">
      <c r="A131" s="11"/>
      <c r="B131" s="54" t="s">
        <v>137</v>
      </c>
      <c r="C131" s="30">
        <f>SUM(C132:C134)</f>
        <v>127.65</v>
      </c>
      <c r="D131" s="16">
        <f t="shared" ref="D131:P131" si="24">SUM(D132:D134)</f>
        <v>9.82</v>
      </c>
      <c r="E131" s="16">
        <f t="shared" si="24"/>
        <v>9.82</v>
      </c>
      <c r="F131" s="16">
        <f t="shared" si="24"/>
        <v>9.82</v>
      </c>
      <c r="G131" s="16">
        <f t="shared" si="24"/>
        <v>9.82</v>
      </c>
      <c r="H131" s="16">
        <f t="shared" si="24"/>
        <v>9.82</v>
      </c>
      <c r="I131" s="16">
        <f t="shared" si="24"/>
        <v>9.82</v>
      </c>
      <c r="J131" s="16">
        <f t="shared" si="24"/>
        <v>9.82</v>
      </c>
      <c r="K131" s="16">
        <f t="shared" si="24"/>
        <v>9.82</v>
      </c>
      <c r="L131" s="16">
        <f t="shared" si="24"/>
        <v>9.82</v>
      </c>
      <c r="M131" s="16">
        <f t="shared" si="24"/>
        <v>9.82</v>
      </c>
      <c r="N131" s="16">
        <f t="shared" si="24"/>
        <v>9.82</v>
      </c>
      <c r="O131" s="16">
        <f t="shared" si="24"/>
        <v>9.82</v>
      </c>
      <c r="P131" s="16">
        <f t="shared" si="24"/>
        <v>9.8099999999999987</v>
      </c>
      <c r="Q131" s="14">
        <f t="shared" si="14"/>
        <v>127.64999999999998</v>
      </c>
    </row>
    <row r="132" spans="1:18" x14ac:dyDescent="0.3">
      <c r="A132" s="12">
        <v>104</v>
      </c>
      <c r="B132" s="13" t="s">
        <v>138</v>
      </c>
      <c r="C132" s="32">
        <v>25.33</v>
      </c>
      <c r="D132" s="14">
        <v>1.95</v>
      </c>
      <c r="E132" s="14">
        <v>1.95</v>
      </c>
      <c r="F132" s="14">
        <v>1.95</v>
      </c>
      <c r="G132" s="14">
        <v>1.95</v>
      </c>
      <c r="H132" s="14">
        <v>1.95</v>
      </c>
      <c r="I132" s="14">
        <v>1.95</v>
      </c>
      <c r="J132" s="14">
        <v>1.95</v>
      </c>
      <c r="K132" s="14">
        <v>1.95</v>
      </c>
      <c r="L132" s="14">
        <v>1.95</v>
      </c>
      <c r="M132" s="14">
        <v>1.95</v>
      </c>
      <c r="N132" s="14">
        <v>1.95</v>
      </c>
      <c r="O132" s="14">
        <v>1.95</v>
      </c>
      <c r="P132" s="14">
        <v>1.93</v>
      </c>
      <c r="Q132" s="14">
        <f t="shared" si="14"/>
        <v>25.329999999999995</v>
      </c>
      <c r="R132" s="74"/>
    </row>
    <row r="133" spans="1:18" x14ac:dyDescent="0.3">
      <c r="A133" s="12">
        <v>105</v>
      </c>
      <c r="B133" s="13" t="s">
        <v>139</v>
      </c>
      <c r="C133" s="31">
        <v>40.07</v>
      </c>
      <c r="D133" s="14">
        <v>3.08</v>
      </c>
      <c r="E133" s="14">
        <v>3.08</v>
      </c>
      <c r="F133" s="14">
        <v>3.08</v>
      </c>
      <c r="G133" s="14">
        <v>3.08</v>
      </c>
      <c r="H133" s="14">
        <v>3.08</v>
      </c>
      <c r="I133" s="14">
        <v>3.08</v>
      </c>
      <c r="J133" s="14">
        <v>3.08</v>
      </c>
      <c r="K133" s="14">
        <v>3.08</v>
      </c>
      <c r="L133" s="14">
        <v>3.08</v>
      </c>
      <c r="M133" s="14">
        <v>3.08</v>
      </c>
      <c r="N133" s="14">
        <v>3.08</v>
      </c>
      <c r="O133" s="14">
        <v>3.08</v>
      </c>
      <c r="P133" s="14">
        <v>3.11</v>
      </c>
      <c r="Q133" s="14">
        <f t="shared" si="14"/>
        <v>40.069999999999993</v>
      </c>
      <c r="R133" s="74"/>
    </row>
    <row r="134" spans="1:18" x14ac:dyDescent="0.3">
      <c r="A134" s="12">
        <v>106</v>
      </c>
      <c r="B134" s="13" t="s">
        <v>140</v>
      </c>
      <c r="C134" s="31">
        <v>62.25</v>
      </c>
      <c r="D134" s="14">
        <v>4.79</v>
      </c>
      <c r="E134" s="14">
        <v>4.79</v>
      </c>
      <c r="F134" s="14">
        <v>4.79</v>
      </c>
      <c r="G134" s="14">
        <v>4.79</v>
      </c>
      <c r="H134" s="14">
        <v>4.79</v>
      </c>
      <c r="I134" s="14">
        <v>4.79</v>
      </c>
      <c r="J134" s="14">
        <v>4.79</v>
      </c>
      <c r="K134" s="14">
        <v>4.79</v>
      </c>
      <c r="L134" s="14">
        <v>4.79</v>
      </c>
      <c r="M134" s="14">
        <v>4.79</v>
      </c>
      <c r="N134" s="14">
        <v>4.79</v>
      </c>
      <c r="O134" s="14">
        <v>4.79</v>
      </c>
      <c r="P134" s="14">
        <v>4.7699999999999996</v>
      </c>
      <c r="Q134" s="14">
        <f t="shared" si="14"/>
        <v>62.25</v>
      </c>
      <c r="R134" s="73"/>
    </row>
    <row r="135" spans="1:18" ht="46.8" x14ac:dyDescent="0.3">
      <c r="A135" s="11"/>
      <c r="B135" s="55" t="s">
        <v>141</v>
      </c>
      <c r="C135" s="30">
        <f>SUM(C136:C140)</f>
        <v>452.79</v>
      </c>
      <c r="D135" s="16">
        <f t="shared" ref="D135:P135" si="25">SUM(D136:D140)</f>
        <v>18.447000000000003</v>
      </c>
      <c r="E135" s="16">
        <f t="shared" si="25"/>
        <v>5.7240000000000002</v>
      </c>
      <c r="F135" s="16">
        <f t="shared" si="25"/>
        <v>11.644</v>
      </c>
      <c r="G135" s="16">
        <f t="shared" si="25"/>
        <v>4.9239999999999995</v>
      </c>
      <c r="H135" s="16">
        <f t="shared" si="25"/>
        <v>29.068000000000001</v>
      </c>
      <c r="I135" s="16">
        <f t="shared" si="25"/>
        <v>26.660999999999998</v>
      </c>
      <c r="J135" s="16">
        <f t="shared" si="25"/>
        <v>4.4539999999999997</v>
      </c>
      <c r="K135" s="16">
        <f t="shared" si="25"/>
        <v>7.032</v>
      </c>
      <c r="L135" s="16">
        <f t="shared" si="25"/>
        <v>10.623000000000001</v>
      </c>
      <c r="M135" s="16">
        <f t="shared" si="25"/>
        <v>8.1750000000000007</v>
      </c>
      <c r="N135" s="16">
        <f t="shared" si="25"/>
        <v>10.414999999999999</v>
      </c>
      <c r="O135" s="16">
        <f t="shared" si="25"/>
        <v>9.5350000000000001</v>
      </c>
      <c r="P135" s="16">
        <f t="shared" si="25"/>
        <v>306.06</v>
      </c>
      <c r="Q135" s="14">
        <f t="shared" si="14"/>
        <v>452.762</v>
      </c>
    </row>
    <row r="136" spans="1:18" x14ac:dyDescent="0.3">
      <c r="A136" s="12">
        <v>107</v>
      </c>
      <c r="B136" s="13" t="s">
        <v>142</v>
      </c>
      <c r="C136" s="32">
        <v>58.16</v>
      </c>
      <c r="D136" s="14">
        <v>0.5</v>
      </c>
      <c r="E136" s="14">
        <v>0.5</v>
      </c>
      <c r="F136" s="14">
        <v>0.5</v>
      </c>
      <c r="G136" s="14">
        <v>0.5</v>
      </c>
      <c r="H136" s="14">
        <v>0.5</v>
      </c>
      <c r="I136" s="14">
        <v>0.5</v>
      </c>
      <c r="J136" s="14">
        <v>0.5</v>
      </c>
      <c r="K136" s="14">
        <v>0.5</v>
      </c>
      <c r="L136" s="14">
        <v>0.5</v>
      </c>
      <c r="M136" s="14">
        <v>0.5</v>
      </c>
      <c r="N136" s="14">
        <v>0.5</v>
      </c>
      <c r="O136" s="14">
        <v>0.5</v>
      </c>
      <c r="P136" s="17">
        <v>52.16</v>
      </c>
      <c r="Q136" s="14">
        <f>SUM(D136:P136)</f>
        <v>58.16</v>
      </c>
    </row>
    <row r="137" spans="1:18" x14ac:dyDescent="0.3">
      <c r="A137" s="12">
        <v>108</v>
      </c>
      <c r="B137" s="13" t="s">
        <v>143</v>
      </c>
      <c r="C137" s="32">
        <v>119.76</v>
      </c>
      <c r="D137" s="14">
        <v>0.6</v>
      </c>
      <c r="E137" s="14">
        <v>0.3</v>
      </c>
      <c r="F137" s="14">
        <v>0.9</v>
      </c>
      <c r="G137" s="14">
        <v>0.3</v>
      </c>
      <c r="H137" s="14">
        <v>0.6</v>
      </c>
      <c r="I137" s="14">
        <v>0.9</v>
      </c>
      <c r="J137" s="14">
        <v>0.3</v>
      </c>
      <c r="K137" s="14">
        <v>0.3</v>
      </c>
      <c r="L137" s="14">
        <v>0.9</v>
      </c>
      <c r="M137" s="14">
        <v>0.6</v>
      </c>
      <c r="N137" s="14">
        <v>0.6</v>
      </c>
      <c r="O137" s="14">
        <v>0.3</v>
      </c>
      <c r="P137" s="17">
        <f>2.31+12.8+15.15+82.9</f>
        <v>113.16000000000001</v>
      </c>
      <c r="Q137" s="14">
        <f>SUM(D137:P137)</f>
        <v>119.76</v>
      </c>
    </row>
    <row r="138" spans="1:18" x14ac:dyDescent="0.3">
      <c r="A138" s="12">
        <v>109</v>
      </c>
      <c r="B138" s="13" t="s">
        <v>144</v>
      </c>
      <c r="C138" s="35">
        <v>43.51</v>
      </c>
      <c r="D138" s="14">
        <v>0</v>
      </c>
      <c r="E138" s="14">
        <v>0</v>
      </c>
      <c r="F138" s="14">
        <v>0</v>
      </c>
      <c r="G138" s="14">
        <v>0</v>
      </c>
      <c r="H138" s="14">
        <v>15</v>
      </c>
      <c r="I138" s="14">
        <v>15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7">
        <v>13.51</v>
      </c>
      <c r="Q138" s="14">
        <f>SUM(D138:P138)</f>
        <v>43.51</v>
      </c>
    </row>
    <row r="139" spans="1:18" x14ac:dyDescent="0.3">
      <c r="A139" s="12">
        <v>110</v>
      </c>
      <c r="B139" s="13" t="s">
        <v>145</v>
      </c>
      <c r="C139" s="38">
        <v>226.36</v>
      </c>
      <c r="D139" s="14">
        <v>17.347000000000001</v>
      </c>
      <c r="E139" s="14">
        <v>4.9240000000000004</v>
      </c>
      <c r="F139" s="14">
        <v>10.244</v>
      </c>
      <c r="G139" s="14">
        <v>4.1239999999999997</v>
      </c>
      <c r="H139" s="14">
        <v>12.968</v>
      </c>
      <c r="I139" s="14">
        <v>10.260999999999999</v>
      </c>
      <c r="J139" s="14">
        <v>3.6539999999999999</v>
      </c>
      <c r="K139" s="14">
        <v>6.2320000000000002</v>
      </c>
      <c r="L139" s="14">
        <v>9.2230000000000008</v>
      </c>
      <c r="M139" s="14">
        <v>7.0750000000000002</v>
      </c>
      <c r="N139" s="14">
        <v>9.3149999999999995</v>
      </c>
      <c r="O139" s="14">
        <v>8.7349999999999994</v>
      </c>
      <c r="P139" s="17">
        <v>122.23</v>
      </c>
      <c r="Q139" s="14">
        <f>SUM(D139:P139)</f>
        <v>226.33199999999999</v>
      </c>
    </row>
    <row r="140" spans="1:18" ht="21.75" customHeight="1" x14ac:dyDescent="0.3">
      <c r="A140" s="12">
        <v>111</v>
      </c>
      <c r="B140" s="13" t="s">
        <v>38</v>
      </c>
      <c r="C140" s="35">
        <v>5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5">
        <v>5</v>
      </c>
      <c r="Q140" s="14">
        <f>SUM(D140:P140)</f>
        <v>5</v>
      </c>
    </row>
    <row r="141" spans="1:18" ht="31.2" x14ac:dyDescent="0.3">
      <c r="A141" s="11"/>
      <c r="B141" s="54" t="s">
        <v>146</v>
      </c>
      <c r="C141" s="30">
        <f>SUM(C142:C144)</f>
        <v>466.08000000000004</v>
      </c>
      <c r="D141" s="16">
        <f t="shared" ref="D141:P141" si="26">SUM(D142:D144)</f>
        <v>0</v>
      </c>
      <c r="E141" s="16">
        <f t="shared" si="26"/>
        <v>0</v>
      </c>
      <c r="F141" s="16">
        <f t="shared" si="26"/>
        <v>0</v>
      </c>
      <c r="G141" s="16">
        <f t="shared" si="26"/>
        <v>0</v>
      </c>
      <c r="H141" s="16">
        <f t="shared" si="26"/>
        <v>0</v>
      </c>
      <c r="I141" s="16">
        <f t="shared" si="26"/>
        <v>0</v>
      </c>
      <c r="J141" s="16">
        <f t="shared" si="26"/>
        <v>0</v>
      </c>
      <c r="K141" s="16">
        <f t="shared" si="26"/>
        <v>0</v>
      </c>
      <c r="L141" s="16">
        <f t="shared" si="26"/>
        <v>0</v>
      </c>
      <c r="M141" s="16">
        <f t="shared" si="26"/>
        <v>0</v>
      </c>
      <c r="N141" s="16">
        <f t="shared" si="26"/>
        <v>0</v>
      </c>
      <c r="O141" s="16">
        <f t="shared" si="26"/>
        <v>0</v>
      </c>
      <c r="P141" s="16">
        <f t="shared" si="26"/>
        <v>466.08000000000004</v>
      </c>
      <c r="Q141" s="75">
        <f t="shared" ref="Q141:Q197" si="27">SUM(D141:P141)</f>
        <v>466.08000000000004</v>
      </c>
    </row>
    <row r="142" spans="1:18" x14ac:dyDescent="0.3">
      <c r="A142" s="12">
        <v>112</v>
      </c>
      <c r="B142" s="13" t="s">
        <v>147</v>
      </c>
      <c r="C142" s="31">
        <v>271.10000000000002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79">
        <v>271.10000000000002</v>
      </c>
      <c r="Q142" s="14">
        <f t="shared" si="27"/>
        <v>271.10000000000002</v>
      </c>
    </row>
    <row r="143" spans="1:18" x14ac:dyDescent="0.3">
      <c r="A143" s="12">
        <v>113</v>
      </c>
      <c r="B143" s="13" t="s">
        <v>148</v>
      </c>
      <c r="C143" s="32">
        <v>46.08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76">
        <v>46.08</v>
      </c>
      <c r="Q143" s="14">
        <f t="shared" si="27"/>
        <v>46.08</v>
      </c>
    </row>
    <row r="144" spans="1:18" ht="31.2" x14ac:dyDescent="0.3">
      <c r="A144" s="12">
        <v>114</v>
      </c>
      <c r="B144" s="13" t="s">
        <v>149</v>
      </c>
      <c r="C144" s="39">
        <v>148.9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78">
        <v>148.9</v>
      </c>
      <c r="Q144" s="14">
        <f t="shared" si="27"/>
        <v>148.9</v>
      </c>
    </row>
    <row r="145" spans="1:17" ht="31.2" x14ac:dyDescent="0.3">
      <c r="A145" s="11"/>
      <c r="B145" s="55" t="s">
        <v>150</v>
      </c>
      <c r="C145" s="34">
        <f>SUM(C146:C149)</f>
        <v>218.56</v>
      </c>
      <c r="D145" s="16">
        <f t="shared" ref="D145:P145" si="28">SUM(D146:D149)</f>
        <v>16</v>
      </c>
      <c r="E145" s="16">
        <f t="shared" si="28"/>
        <v>16</v>
      </c>
      <c r="F145" s="16">
        <f t="shared" si="28"/>
        <v>16</v>
      </c>
      <c r="G145" s="16">
        <f t="shared" si="28"/>
        <v>16</v>
      </c>
      <c r="H145" s="16">
        <f t="shared" si="28"/>
        <v>16</v>
      </c>
      <c r="I145" s="16">
        <f t="shared" si="28"/>
        <v>16</v>
      </c>
      <c r="J145" s="16">
        <f t="shared" si="28"/>
        <v>16</v>
      </c>
      <c r="K145" s="16">
        <f t="shared" si="28"/>
        <v>16</v>
      </c>
      <c r="L145" s="16">
        <f t="shared" si="28"/>
        <v>16</v>
      </c>
      <c r="M145" s="16">
        <f t="shared" si="28"/>
        <v>16</v>
      </c>
      <c r="N145" s="16">
        <f t="shared" si="28"/>
        <v>16</v>
      </c>
      <c r="O145" s="16">
        <f t="shared" si="28"/>
        <v>16</v>
      </c>
      <c r="P145" s="16">
        <f t="shared" si="28"/>
        <v>26.56</v>
      </c>
      <c r="Q145" s="14">
        <f t="shared" si="27"/>
        <v>218.56</v>
      </c>
    </row>
    <row r="146" spans="1:17" x14ac:dyDescent="0.3">
      <c r="A146" s="12">
        <v>115</v>
      </c>
      <c r="B146" s="13" t="s">
        <v>151</v>
      </c>
      <c r="C146" s="32">
        <v>65.98</v>
      </c>
      <c r="D146" s="14">
        <v>5</v>
      </c>
      <c r="E146" s="14">
        <v>5</v>
      </c>
      <c r="F146" s="14">
        <v>5</v>
      </c>
      <c r="G146" s="14">
        <v>5</v>
      </c>
      <c r="H146" s="14">
        <v>5</v>
      </c>
      <c r="I146" s="14">
        <v>5</v>
      </c>
      <c r="J146" s="14">
        <v>5</v>
      </c>
      <c r="K146" s="14">
        <v>5</v>
      </c>
      <c r="L146" s="14">
        <v>5</v>
      </c>
      <c r="M146" s="14">
        <v>5</v>
      </c>
      <c r="N146" s="14">
        <v>5</v>
      </c>
      <c r="O146" s="14">
        <v>5</v>
      </c>
      <c r="P146" s="14">
        <v>5.98</v>
      </c>
      <c r="Q146" s="14">
        <f t="shared" si="27"/>
        <v>65.98</v>
      </c>
    </row>
    <row r="147" spans="1:17" x14ac:dyDescent="0.3">
      <c r="A147" s="12">
        <v>116</v>
      </c>
      <c r="B147" s="13" t="s">
        <v>152</v>
      </c>
      <c r="C147" s="32">
        <v>48.04</v>
      </c>
      <c r="D147" s="14">
        <v>3</v>
      </c>
      <c r="E147" s="14">
        <v>3</v>
      </c>
      <c r="F147" s="14">
        <v>3</v>
      </c>
      <c r="G147" s="14">
        <v>3</v>
      </c>
      <c r="H147" s="14">
        <v>3</v>
      </c>
      <c r="I147" s="14">
        <v>3</v>
      </c>
      <c r="J147" s="14">
        <v>3</v>
      </c>
      <c r="K147" s="14">
        <v>3</v>
      </c>
      <c r="L147" s="14">
        <v>3</v>
      </c>
      <c r="M147" s="14">
        <v>3</v>
      </c>
      <c r="N147" s="14">
        <v>3</v>
      </c>
      <c r="O147" s="14">
        <v>3</v>
      </c>
      <c r="P147" s="14">
        <v>12.04</v>
      </c>
      <c r="Q147" s="14">
        <f t="shared" si="27"/>
        <v>48.04</v>
      </c>
    </row>
    <row r="148" spans="1:17" x14ac:dyDescent="0.3">
      <c r="A148" s="12">
        <v>117</v>
      </c>
      <c r="B148" s="13" t="s">
        <v>153</v>
      </c>
      <c r="C148" s="32">
        <v>0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>
        <f t="shared" si="27"/>
        <v>0</v>
      </c>
    </row>
    <row r="149" spans="1:17" ht="22.5" customHeight="1" x14ac:dyDescent="0.3">
      <c r="A149" s="12">
        <v>118</v>
      </c>
      <c r="B149" s="13" t="s">
        <v>38</v>
      </c>
      <c r="C149" s="32">
        <v>104.54</v>
      </c>
      <c r="D149" s="14">
        <v>8</v>
      </c>
      <c r="E149" s="14">
        <v>8</v>
      </c>
      <c r="F149" s="14">
        <v>8</v>
      </c>
      <c r="G149" s="14">
        <v>8</v>
      </c>
      <c r="H149" s="14">
        <v>8</v>
      </c>
      <c r="I149" s="14">
        <v>8</v>
      </c>
      <c r="J149" s="14">
        <v>8</v>
      </c>
      <c r="K149" s="14">
        <v>8</v>
      </c>
      <c r="L149" s="14">
        <v>8</v>
      </c>
      <c r="M149" s="14">
        <v>8</v>
      </c>
      <c r="N149" s="14">
        <v>8</v>
      </c>
      <c r="O149" s="14">
        <v>8</v>
      </c>
      <c r="P149" s="14">
        <v>8.5399999999999991</v>
      </c>
      <c r="Q149" s="14">
        <f t="shared" si="27"/>
        <v>104.53999999999999</v>
      </c>
    </row>
    <row r="150" spans="1:17" ht="31.2" x14ac:dyDescent="0.3">
      <c r="A150" s="11">
        <v>119</v>
      </c>
      <c r="B150" s="54" t="s">
        <v>154</v>
      </c>
      <c r="C150" s="40">
        <v>47.3</v>
      </c>
      <c r="D150" s="14">
        <v>0.441</v>
      </c>
      <c r="E150" s="14">
        <v>10.441000000000001</v>
      </c>
      <c r="F150" s="14">
        <v>0.441</v>
      </c>
      <c r="G150" s="14">
        <v>0.441</v>
      </c>
      <c r="H150" s="14">
        <v>0.441</v>
      </c>
      <c r="I150" s="14">
        <v>0.441</v>
      </c>
      <c r="J150" s="14">
        <v>0.441</v>
      </c>
      <c r="K150" s="14">
        <v>0.441</v>
      </c>
      <c r="L150" s="14">
        <v>0.441</v>
      </c>
      <c r="M150" s="14">
        <v>10.441000000000001</v>
      </c>
      <c r="N150" s="14">
        <v>10.441000000000001</v>
      </c>
      <c r="O150" s="14">
        <v>10.441000000000001</v>
      </c>
      <c r="P150" s="17">
        <v>1.9359</v>
      </c>
      <c r="Q150" s="14">
        <f>SUM(D150:P150)</f>
        <v>47.227900000000005</v>
      </c>
    </row>
    <row r="151" spans="1:17" ht="31.2" x14ac:dyDescent="0.3">
      <c r="A151" s="11">
        <v>120</v>
      </c>
      <c r="B151" s="54" t="s">
        <v>155</v>
      </c>
      <c r="C151" s="40">
        <v>0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5"/>
      <c r="Q151" s="14"/>
    </row>
    <row r="152" spans="1:17" ht="31.2" x14ac:dyDescent="0.3">
      <c r="A152" s="11"/>
      <c r="B152" s="54" t="s">
        <v>156</v>
      </c>
      <c r="C152" s="34">
        <f>SUM(C153:C155)</f>
        <v>4.8</v>
      </c>
      <c r="D152" s="16">
        <f t="shared" ref="D152:P152" si="29">SUM(D153:D155)</f>
        <v>0.27360000000000001</v>
      </c>
      <c r="E152" s="16">
        <f t="shared" si="29"/>
        <v>0.27360000000000001</v>
      </c>
      <c r="F152" s="16">
        <f t="shared" si="29"/>
        <v>0.27360000000000001</v>
      </c>
      <c r="G152" s="16">
        <f t="shared" si="29"/>
        <v>0.27360000000000001</v>
      </c>
      <c r="H152" s="16">
        <f t="shared" si="29"/>
        <v>0.27360000000000001</v>
      </c>
      <c r="I152" s="16">
        <f t="shared" si="29"/>
        <v>0.27360000000000001</v>
      </c>
      <c r="J152" s="16">
        <f t="shared" si="29"/>
        <v>0.2</v>
      </c>
      <c r="K152" s="16">
        <f t="shared" si="29"/>
        <v>0.27360000000000001</v>
      </c>
      <c r="L152" s="16">
        <f t="shared" si="29"/>
        <v>0.27360000000000001</v>
      </c>
      <c r="M152" s="16">
        <f t="shared" si="29"/>
        <v>0.27360000000000001</v>
      </c>
      <c r="N152" s="16">
        <f t="shared" si="29"/>
        <v>0.27360000000000001</v>
      </c>
      <c r="O152" s="16">
        <f t="shared" si="29"/>
        <v>0.27360000000000001</v>
      </c>
      <c r="P152" s="16">
        <f t="shared" si="29"/>
        <v>1.59</v>
      </c>
      <c r="Q152" s="75">
        <f t="shared" si="27"/>
        <v>4.7996000000000008</v>
      </c>
    </row>
    <row r="153" spans="1:17" x14ac:dyDescent="0.3">
      <c r="A153" s="12">
        <v>121</v>
      </c>
      <c r="B153" s="13" t="s">
        <v>157</v>
      </c>
      <c r="C153" s="35">
        <v>0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5"/>
      <c r="Q153" s="14"/>
    </row>
    <row r="154" spans="1:17" x14ac:dyDescent="0.3">
      <c r="A154" s="12">
        <v>122</v>
      </c>
      <c r="B154" s="13" t="s">
        <v>158</v>
      </c>
      <c r="C154" s="35">
        <v>0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5"/>
      <c r="Q154" s="14"/>
    </row>
    <row r="155" spans="1:17" x14ac:dyDescent="0.3">
      <c r="A155" s="12">
        <v>123</v>
      </c>
      <c r="B155" s="13" t="s">
        <v>159</v>
      </c>
      <c r="C155" s="35">
        <v>4.8</v>
      </c>
      <c r="D155" s="14">
        <v>0.27360000000000001</v>
      </c>
      <c r="E155" s="14">
        <v>0.27360000000000001</v>
      </c>
      <c r="F155" s="14">
        <v>0.27360000000000001</v>
      </c>
      <c r="G155" s="14">
        <v>0.27360000000000001</v>
      </c>
      <c r="H155" s="14">
        <v>0.27360000000000001</v>
      </c>
      <c r="I155" s="14">
        <v>0.27360000000000001</v>
      </c>
      <c r="J155" s="14">
        <v>0.2</v>
      </c>
      <c r="K155" s="14">
        <v>0.27360000000000001</v>
      </c>
      <c r="L155" s="14">
        <v>0.27360000000000001</v>
      </c>
      <c r="M155" s="14">
        <v>0.27360000000000001</v>
      </c>
      <c r="N155" s="14">
        <v>0.27360000000000001</v>
      </c>
      <c r="O155" s="14">
        <v>0.27360000000000001</v>
      </c>
      <c r="P155" s="15">
        <v>1.59</v>
      </c>
      <c r="Q155" s="14">
        <f>SUM(D155:P155)</f>
        <v>4.7996000000000008</v>
      </c>
    </row>
    <row r="156" spans="1:17" ht="46.8" x14ac:dyDescent="0.3">
      <c r="A156" s="11"/>
      <c r="B156" s="54" t="s">
        <v>160</v>
      </c>
      <c r="C156" s="34">
        <f>SUM(C157:C159)</f>
        <v>0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5"/>
      <c r="Q156" s="14"/>
    </row>
    <row r="157" spans="1:17" x14ac:dyDescent="0.3">
      <c r="A157" s="12">
        <v>124</v>
      </c>
      <c r="B157" s="13" t="s">
        <v>161</v>
      </c>
      <c r="C157" s="32">
        <v>0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5"/>
      <c r="Q157" s="14"/>
    </row>
    <row r="158" spans="1:17" x14ac:dyDescent="0.3">
      <c r="A158" s="12">
        <v>125</v>
      </c>
      <c r="B158" s="13" t="s">
        <v>162</v>
      </c>
      <c r="C158" s="32">
        <v>0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5"/>
      <c r="Q158" s="14"/>
    </row>
    <row r="159" spans="1:17" ht="31.2" x14ac:dyDescent="0.3">
      <c r="A159" s="12">
        <v>126</v>
      </c>
      <c r="B159" s="13" t="s">
        <v>163</v>
      </c>
      <c r="C159" s="32">
        <v>0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5"/>
      <c r="Q159" s="14"/>
    </row>
    <row r="160" spans="1:17" x14ac:dyDescent="0.3">
      <c r="A160" s="9" t="s">
        <v>164</v>
      </c>
      <c r="B160" s="53" t="s">
        <v>165</v>
      </c>
      <c r="C160" s="36">
        <f>C161+C165+C173+C176+C180+C186+C188+C190+C191</f>
        <v>672.97</v>
      </c>
      <c r="D160" s="10">
        <f t="shared" ref="D160:P160" si="30">D161+D165+D173+D176+D180+D186+D188+D190+D191</f>
        <v>83.899999999999977</v>
      </c>
      <c r="E160" s="10">
        <f t="shared" si="30"/>
        <v>0</v>
      </c>
      <c r="F160" s="10">
        <f t="shared" si="30"/>
        <v>70.499999999999986</v>
      </c>
      <c r="G160" s="10">
        <f t="shared" si="30"/>
        <v>0</v>
      </c>
      <c r="H160" s="10">
        <f t="shared" si="30"/>
        <v>25.925000000000001</v>
      </c>
      <c r="I160" s="10">
        <f t="shared" si="30"/>
        <v>30.944999999999997</v>
      </c>
      <c r="J160" s="10">
        <f t="shared" si="30"/>
        <v>0</v>
      </c>
      <c r="K160" s="10">
        <f t="shared" si="30"/>
        <v>0</v>
      </c>
      <c r="L160" s="10">
        <f t="shared" si="30"/>
        <v>0</v>
      </c>
      <c r="M160" s="10">
        <f t="shared" si="30"/>
        <v>28.424999999999997</v>
      </c>
      <c r="N160" s="10">
        <f t="shared" si="30"/>
        <v>27.194999999999997</v>
      </c>
      <c r="O160" s="10">
        <f t="shared" si="30"/>
        <v>0</v>
      </c>
      <c r="P160" s="10">
        <f t="shared" si="30"/>
        <v>406.08</v>
      </c>
      <c r="Q160" s="14">
        <f t="shared" si="27"/>
        <v>672.97</v>
      </c>
    </row>
    <row r="161" spans="1:17" ht="31.2" x14ac:dyDescent="0.3">
      <c r="A161" s="19"/>
      <c r="B161" s="54" t="s">
        <v>166</v>
      </c>
      <c r="C161" s="34">
        <f>SUM(C162:C164)</f>
        <v>102.80000000000001</v>
      </c>
      <c r="D161" s="16">
        <f t="shared" ref="D161:P161" si="31">SUM(D162:D164)</f>
        <v>12.959999999999999</v>
      </c>
      <c r="E161" s="16">
        <f t="shared" si="31"/>
        <v>0</v>
      </c>
      <c r="F161" s="16">
        <f t="shared" si="31"/>
        <v>12.959999999999999</v>
      </c>
      <c r="G161" s="16">
        <f t="shared" si="31"/>
        <v>0</v>
      </c>
      <c r="H161" s="16">
        <f t="shared" si="31"/>
        <v>5.9799999999999995</v>
      </c>
      <c r="I161" s="16">
        <f t="shared" si="31"/>
        <v>6.4799999999999995</v>
      </c>
      <c r="J161" s="16">
        <f t="shared" si="31"/>
        <v>0</v>
      </c>
      <c r="K161" s="16">
        <f t="shared" si="31"/>
        <v>0</v>
      </c>
      <c r="L161" s="16">
        <f t="shared" si="31"/>
        <v>0</v>
      </c>
      <c r="M161" s="16">
        <f t="shared" si="31"/>
        <v>6.4799999999999995</v>
      </c>
      <c r="N161" s="16">
        <f t="shared" si="31"/>
        <v>6.4799999999999995</v>
      </c>
      <c r="O161" s="16">
        <f t="shared" si="31"/>
        <v>0</v>
      </c>
      <c r="P161" s="16">
        <f t="shared" si="31"/>
        <v>51.459999999999987</v>
      </c>
      <c r="Q161" s="75">
        <f t="shared" si="27"/>
        <v>102.79999999999998</v>
      </c>
    </row>
    <row r="162" spans="1:17" ht="31.2" x14ac:dyDescent="0.3">
      <c r="A162" s="12">
        <v>127</v>
      </c>
      <c r="B162" s="13" t="s">
        <v>167</v>
      </c>
      <c r="C162" s="32">
        <v>0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5"/>
      <c r="Q162" s="14">
        <v>0</v>
      </c>
    </row>
    <row r="163" spans="1:17" x14ac:dyDescent="0.3">
      <c r="A163" s="12">
        <v>128</v>
      </c>
      <c r="B163" s="13" t="s">
        <v>168</v>
      </c>
      <c r="C163" s="32">
        <v>101.18</v>
      </c>
      <c r="D163" s="14">
        <v>12.6</v>
      </c>
      <c r="E163" s="14"/>
      <c r="F163" s="14">
        <v>12.6</v>
      </c>
      <c r="G163" s="14"/>
      <c r="H163" s="14">
        <v>5.8</v>
      </c>
      <c r="I163" s="14">
        <v>6.3</v>
      </c>
      <c r="J163" s="14"/>
      <c r="K163" s="14"/>
      <c r="L163" s="14"/>
      <c r="M163" s="14">
        <v>6.3</v>
      </c>
      <c r="N163" s="14">
        <v>6.3</v>
      </c>
      <c r="O163" s="14"/>
      <c r="P163" s="17">
        <v>51.279999999999987</v>
      </c>
      <c r="Q163" s="14">
        <v>101.17999999999998</v>
      </c>
    </row>
    <row r="164" spans="1:17" x14ac:dyDescent="0.3">
      <c r="A164" s="12">
        <v>129</v>
      </c>
      <c r="B164" s="13" t="s">
        <v>169</v>
      </c>
      <c r="C164" s="32">
        <v>1.62</v>
      </c>
      <c r="D164" s="14">
        <v>0.36</v>
      </c>
      <c r="E164" s="14"/>
      <c r="F164" s="14">
        <v>0.36</v>
      </c>
      <c r="G164" s="14"/>
      <c r="H164" s="14">
        <v>0.18</v>
      </c>
      <c r="I164" s="14">
        <v>0.18</v>
      </c>
      <c r="J164" s="14"/>
      <c r="K164" s="14"/>
      <c r="L164" s="14"/>
      <c r="M164" s="14">
        <v>0.18</v>
      </c>
      <c r="N164" s="14">
        <v>0.18</v>
      </c>
      <c r="O164" s="14"/>
      <c r="P164" s="15">
        <v>0.18</v>
      </c>
      <c r="Q164" s="14">
        <v>1.6199999999999997</v>
      </c>
    </row>
    <row r="165" spans="1:17" ht="31.2" x14ac:dyDescent="0.3">
      <c r="A165" s="11"/>
      <c r="B165" s="54" t="s">
        <v>170</v>
      </c>
      <c r="C165" s="37">
        <f>SUM(C166:C172)</f>
        <v>152.95999999999998</v>
      </c>
      <c r="D165" s="37">
        <f t="shared" ref="D165:P165" si="32">SUM(D166:D172)</f>
        <v>53.209999999999994</v>
      </c>
      <c r="E165" s="37">
        <f t="shared" si="32"/>
        <v>0</v>
      </c>
      <c r="F165" s="37">
        <f t="shared" si="32"/>
        <v>40.959999999999994</v>
      </c>
      <c r="G165" s="37">
        <f t="shared" si="32"/>
        <v>0</v>
      </c>
      <c r="H165" s="37">
        <f t="shared" si="32"/>
        <v>13.91</v>
      </c>
      <c r="I165" s="37">
        <f t="shared" si="32"/>
        <v>14.249999999999998</v>
      </c>
      <c r="J165" s="37">
        <f t="shared" si="32"/>
        <v>0</v>
      </c>
      <c r="K165" s="37">
        <f t="shared" si="32"/>
        <v>0</v>
      </c>
      <c r="L165" s="37">
        <f t="shared" si="32"/>
        <v>0</v>
      </c>
      <c r="M165" s="37">
        <f t="shared" si="32"/>
        <v>15.879999999999997</v>
      </c>
      <c r="N165" s="37">
        <f t="shared" si="32"/>
        <v>14.749999999999998</v>
      </c>
      <c r="O165" s="37">
        <f t="shared" si="32"/>
        <v>0</v>
      </c>
      <c r="P165" s="37">
        <f t="shared" si="32"/>
        <v>0</v>
      </c>
      <c r="Q165" s="14">
        <f t="shared" si="27"/>
        <v>152.95999999999998</v>
      </c>
    </row>
    <row r="166" spans="1:17" ht="31.2" x14ac:dyDescent="0.3">
      <c r="A166" s="12">
        <v>130</v>
      </c>
      <c r="B166" s="13" t="s">
        <v>171</v>
      </c>
      <c r="C166" s="32">
        <v>99.57</v>
      </c>
      <c r="D166" s="14">
        <v>35.15</v>
      </c>
      <c r="E166" s="14"/>
      <c r="F166" s="14">
        <v>28.419999999999998</v>
      </c>
      <c r="G166" s="14"/>
      <c r="H166" s="14">
        <v>7.36</v>
      </c>
      <c r="I166" s="14">
        <v>9.2899999999999991</v>
      </c>
      <c r="J166" s="14"/>
      <c r="K166" s="14"/>
      <c r="L166" s="14"/>
      <c r="M166" s="14">
        <v>10.059999999999999</v>
      </c>
      <c r="N166" s="14">
        <v>9.2899999999999991</v>
      </c>
      <c r="O166" s="14"/>
      <c r="P166" s="15"/>
      <c r="Q166" s="14">
        <v>99.57</v>
      </c>
    </row>
    <row r="167" spans="1:17" x14ac:dyDescent="0.3">
      <c r="A167" s="12">
        <v>131</v>
      </c>
      <c r="B167" s="13" t="s">
        <v>172</v>
      </c>
      <c r="C167" s="32">
        <v>29.39</v>
      </c>
      <c r="D167" s="14">
        <v>11.94</v>
      </c>
      <c r="E167" s="14"/>
      <c r="F167" s="14">
        <v>6.42</v>
      </c>
      <c r="G167" s="14"/>
      <c r="H167" s="14">
        <v>3.61</v>
      </c>
      <c r="I167" s="14">
        <v>2.02</v>
      </c>
      <c r="J167" s="14"/>
      <c r="K167" s="14"/>
      <c r="L167" s="14"/>
      <c r="M167" s="14">
        <v>2.88</v>
      </c>
      <c r="N167" s="14">
        <v>2.52</v>
      </c>
      <c r="O167" s="14"/>
      <c r="P167" s="15"/>
      <c r="Q167" s="14">
        <v>29.389999999999997</v>
      </c>
    </row>
    <row r="168" spans="1:17" x14ac:dyDescent="0.3">
      <c r="A168" s="12">
        <v>132</v>
      </c>
      <c r="B168" s="13" t="s">
        <v>173</v>
      </c>
      <c r="C168" s="32">
        <v>0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5"/>
      <c r="Q168" s="14">
        <v>0</v>
      </c>
    </row>
    <row r="169" spans="1:17" x14ac:dyDescent="0.3">
      <c r="A169" s="12">
        <v>133</v>
      </c>
      <c r="B169" s="13" t="s">
        <v>174</v>
      </c>
      <c r="C169" s="32">
        <v>0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5"/>
      <c r="Q169" s="14">
        <v>0</v>
      </c>
    </row>
    <row r="170" spans="1:17" x14ac:dyDescent="0.3">
      <c r="A170" s="12">
        <v>134</v>
      </c>
      <c r="B170" s="13" t="s">
        <v>175</v>
      </c>
      <c r="C170" s="32">
        <v>24</v>
      </c>
      <c r="D170" s="14">
        <v>6.1199999999999992</v>
      </c>
      <c r="E170" s="14"/>
      <c r="F170" s="14">
        <v>6.1199999999999992</v>
      </c>
      <c r="G170" s="14"/>
      <c r="H170" s="14">
        <v>2.94</v>
      </c>
      <c r="I170" s="14">
        <v>2.94</v>
      </c>
      <c r="J170" s="14"/>
      <c r="K170" s="14"/>
      <c r="L170" s="14"/>
      <c r="M170" s="14">
        <v>2.94</v>
      </c>
      <c r="N170" s="14">
        <v>2.94</v>
      </c>
      <c r="O170" s="14"/>
      <c r="P170" s="15"/>
      <c r="Q170" s="14">
        <v>24</v>
      </c>
    </row>
    <row r="171" spans="1:17" x14ac:dyDescent="0.3">
      <c r="A171" s="12">
        <v>135</v>
      </c>
      <c r="B171" s="13" t="s">
        <v>176</v>
      </c>
      <c r="C171" s="32">
        <v>0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5"/>
      <c r="Q171" s="14">
        <v>0</v>
      </c>
    </row>
    <row r="172" spans="1:17" x14ac:dyDescent="0.3">
      <c r="A172" s="12">
        <v>136</v>
      </c>
      <c r="B172" s="13" t="s">
        <v>177</v>
      </c>
      <c r="C172" s="32">
        <v>0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5"/>
      <c r="Q172" s="14">
        <v>0</v>
      </c>
    </row>
    <row r="173" spans="1:17" ht="31.2" x14ac:dyDescent="0.3">
      <c r="A173" s="11"/>
      <c r="B173" s="54" t="s">
        <v>178</v>
      </c>
      <c r="C173" s="30">
        <f>SUM(C174:C175)</f>
        <v>4.8</v>
      </c>
      <c r="D173" s="30">
        <f t="shared" ref="D173:P173" si="33">SUM(D174:D175)</f>
        <v>0</v>
      </c>
      <c r="E173" s="30">
        <f t="shared" si="33"/>
        <v>0</v>
      </c>
      <c r="F173" s="30">
        <f t="shared" si="33"/>
        <v>2.4</v>
      </c>
      <c r="G173" s="30">
        <f t="shared" si="33"/>
        <v>0</v>
      </c>
      <c r="H173" s="30">
        <f t="shared" si="33"/>
        <v>2.4</v>
      </c>
      <c r="I173" s="30">
        <f t="shared" si="33"/>
        <v>0</v>
      </c>
      <c r="J173" s="30">
        <f t="shared" si="33"/>
        <v>0</v>
      </c>
      <c r="K173" s="30">
        <f t="shared" si="33"/>
        <v>0</v>
      </c>
      <c r="L173" s="30">
        <f t="shared" si="33"/>
        <v>0</v>
      </c>
      <c r="M173" s="30">
        <f t="shared" si="33"/>
        <v>0</v>
      </c>
      <c r="N173" s="30">
        <f t="shared" si="33"/>
        <v>0</v>
      </c>
      <c r="O173" s="30">
        <f t="shared" si="33"/>
        <v>0</v>
      </c>
      <c r="P173" s="30">
        <f t="shared" si="33"/>
        <v>0</v>
      </c>
      <c r="Q173" s="14">
        <f t="shared" si="27"/>
        <v>4.8</v>
      </c>
    </row>
    <row r="174" spans="1:17" x14ac:dyDescent="0.3">
      <c r="A174" s="12">
        <v>137</v>
      </c>
      <c r="B174" s="13" t="s">
        <v>179</v>
      </c>
      <c r="C174" s="38">
        <v>4.8</v>
      </c>
      <c r="D174" s="14">
        <v>0</v>
      </c>
      <c r="E174" s="70"/>
      <c r="F174" s="14">
        <v>2.4</v>
      </c>
      <c r="G174" s="70"/>
      <c r="H174" s="14">
        <v>2.4</v>
      </c>
      <c r="I174" s="14">
        <v>0</v>
      </c>
      <c r="J174" s="70"/>
      <c r="K174" s="70"/>
      <c r="L174" s="70"/>
      <c r="M174" s="14">
        <v>0</v>
      </c>
      <c r="N174" s="14">
        <v>0</v>
      </c>
      <c r="O174" s="70"/>
      <c r="P174" s="15"/>
      <c r="Q174" s="14">
        <f t="shared" si="27"/>
        <v>4.8</v>
      </c>
    </row>
    <row r="175" spans="1:17" x14ac:dyDescent="0.3">
      <c r="A175" s="12">
        <v>138</v>
      </c>
      <c r="B175" s="13" t="s">
        <v>180</v>
      </c>
      <c r="C175" s="32">
        <v>0</v>
      </c>
      <c r="D175" s="14"/>
      <c r="E175" s="70"/>
      <c r="F175" s="14"/>
      <c r="G175" s="70"/>
      <c r="H175" s="14"/>
      <c r="I175" s="14"/>
      <c r="J175" s="70"/>
      <c r="K175" s="70"/>
      <c r="L175" s="70"/>
      <c r="M175" s="14"/>
      <c r="N175" s="14"/>
      <c r="O175" s="70"/>
      <c r="P175" s="15"/>
      <c r="Q175" s="14">
        <f t="shared" si="27"/>
        <v>0</v>
      </c>
    </row>
    <row r="176" spans="1:17" x14ac:dyDescent="0.3">
      <c r="A176" s="11"/>
      <c r="B176" s="54" t="s">
        <v>181</v>
      </c>
      <c r="C176" s="37">
        <f>SUM(C177:C179)</f>
        <v>36.42</v>
      </c>
      <c r="D176" s="37">
        <f t="shared" ref="D176:P176" si="34">SUM(D177:D179)</f>
        <v>10.129999999999999</v>
      </c>
      <c r="E176" s="37">
        <f t="shared" si="34"/>
        <v>0</v>
      </c>
      <c r="F176" s="37">
        <f t="shared" si="34"/>
        <v>8.129999999999999</v>
      </c>
      <c r="G176" s="37">
        <f t="shared" si="34"/>
        <v>0</v>
      </c>
      <c r="H176" s="37">
        <f t="shared" si="34"/>
        <v>1.635</v>
      </c>
      <c r="I176" s="37">
        <f t="shared" si="34"/>
        <v>7.2649999999999997</v>
      </c>
      <c r="J176" s="37">
        <f t="shared" si="34"/>
        <v>0</v>
      </c>
      <c r="K176" s="37">
        <f t="shared" si="34"/>
        <v>0</v>
      </c>
      <c r="L176" s="37">
        <f t="shared" si="34"/>
        <v>0</v>
      </c>
      <c r="M176" s="37">
        <f t="shared" si="34"/>
        <v>3.0649999999999999</v>
      </c>
      <c r="N176" s="37">
        <f t="shared" si="34"/>
        <v>3.0649999999999999</v>
      </c>
      <c r="O176" s="37">
        <f t="shared" si="34"/>
        <v>0</v>
      </c>
      <c r="P176" s="37">
        <f t="shared" si="34"/>
        <v>3.13</v>
      </c>
      <c r="Q176" s="14">
        <f t="shared" si="27"/>
        <v>36.42</v>
      </c>
    </row>
    <row r="177" spans="1:18" x14ac:dyDescent="0.3">
      <c r="A177" s="12">
        <v>139</v>
      </c>
      <c r="B177" s="13" t="s">
        <v>182</v>
      </c>
      <c r="C177" s="32">
        <v>23.34</v>
      </c>
      <c r="D177" s="14">
        <f>0.43+0.43+3+3</f>
        <v>6.8599999999999994</v>
      </c>
      <c r="E177" s="70"/>
      <c r="F177" s="14">
        <f>0.43+0.43+3+1</f>
        <v>4.8599999999999994</v>
      </c>
      <c r="G177" s="70"/>
      <c r="H177" s="14"/>
      <c r="I177" s="14">
        <f>0.43+1.2+3+1</f>
        <v>5.63</v>
      </c>
      <c r="J177" s="70"/>
      <c r="K177" s="70"/>
      <c r="L177" s="70"/>
      <c r="M177" s="14">
        <f>0.43+1</f>
        <v>1.43</v>
      </c>
      <c r="N177" s="14">
        <f>0.43+1</f>
        <v>1.43</v>
      </c>
      <c r="O177" s="70"/>
      <c r="P177" s="15">
        <f>1.74+1.39</f>
        <v>3.13</v>
      </c>
      <c r="Q177" s="14">
        <f t="shared" si="27"/>
        <v>23.339999999999996</v>
      </c>
    </row>
    <row r="178" spans="1:18" x14ac:dyDescent="0.3">
      <c r="A178" s="12">
        <v>140</v>
      </c>
      <c r="B178" s="13" t="s">
        <v>183</v>
      </c>
      <c r="C178" s="32">
        <v>13.08</v>
      </c>
      <c r="D178" s="14">
        <f>0.5+0.5+0.135+0.135+1+1</f>
        <v>3.27</v>
      </c>
      <c r="E178" s="70"/>
      <c r="F178" s="14">
        <f>0.5+0.5+0.135+0.135+1+1</f>
        <v>3.27</v>
      </c>
      <c r="G178" s="70"/>
      <c r="H178" s="14">
        <f>0.5+0.135+1</f>
        <v>1.635</v>
      </c>
      <c r="I178" s="14">
        <f>0.5+0.135+1</f>
        <v>1.635</v>
      </c>
      <c r="J178" s="70"/>
      <c r="K178" s="70"/>
      <c r="L178" s="70"/>
      <c r="M178" s="14">
        <f>0.5+0.135+1</f>
        <v>1.635</v>
      </c>
      <c r="N178" s="14">
        <f>0.5+0.135+1</f>
        <v>1.635</v>
      </c>
      <c r="O178" s="70"/>
      <c r="P178" s="15"/>
      <c r="Q178" s="14">
        <f>SUM(D178:P178)</f>
        <v>13.08</v>
      </c>
    </row>
    <row r="179" spans="1:18" x14ac:dyDescent="0.3">
      <c r="A179" s="12">
        <v>141</v>
      </c>
      <c r="B179" s="13" t="s">
        <v>184</v>
      </c>
      <c r="C179" s="32">
        <v>0</v>
      </c>
      <c r="D179" s="14"/>
      <c r="E179" s="70"/>
      <c r="F179" s="14"/>
      <c r="G179" s="70"/>
      <c r="H179" s="14"/>
      <c r="I179" s="14"/>
      <c r="J179" s="70"/>
      <c r="K179" s="70"/>
      <c r="L179" s="70"/>
      <c r="M179" s="14"/>
      <c r="N179" s="14"/>
      <c r="O179" s="70"/>
      <c r="P179" s="15"/>
      <c r="Q179" s="14">
        <f t="shared" si="27"/>
        <v>0</v>
      </c>
    </row>
    <row r="180" spans="1:18" x14ac:dyDescent="0.3">
      <c r="A180" s="11"/>
      <c r="B180" s="54" t="s">
        <v>185</v>
      </c>
      <c r="C180" s="34">
        <f>SUM(C181:C185)</f>
        <v>351.49</v>
      </c>
      <c r="D180" s="34">
        <f t="shared" ref="D180:P180" si="35">SUM(D181:D185)</f>
        <v>0</v>
      </c>
      <c r="E180" s="34">
        <f t="shared" si="35"/>
        <v>0</v>
      </c>
      <c r="F180" s="34">
        <f t="shared" si="35"/>
        <v>0</v>
      </c>
      <c r="G180" s="34">
        <f t="shared" si="35"/>
        <v>0</v>
      </c>
      <c r="H180" s="34">
        <f t="shared" si="35"/>
        <v>0</v>
      </c>
      <c r="I180" s="34">
        <f t="shared" si="35"/>
        <v>0</v>
      </c>
      <c r="J180" s="34">
        <f t="shared" si="35"/>
        <v>0</v>
      </c>
      <c r="K180" s="34">
        <f t="shared" si="35"/>
        <v>0</v>
      </c>
      <c r="L180" s="34">
        <f t="shared" si="35"/>
        <v>0</v>
      </c>
      <c r="M180" s="34">
        <f t="shared" si="35"/>
        <v>0</v>
      </c>
      <c r="N180" s="34">
        <f t="shared" si="35"/>
        <v>0</v>
      </c>
      <c r="O180" s="34">
        <f t="shared" si="35"/>
        <v>0</v>
      </c>
      <c r="P180" s="34">
        <f t="shared" si="35"/>
        <v>351.49</v>
      </c>
      <c r="Q180" s="14">
        <f t="shared" si="27"/>
        <v>351.49</v>
      </c>
    </row>
    <row r="181" spans="1:18" x14ac:dyDescent="0.3">
      <c r="A181" s="12">
        <v>142.1</v>
      </c>
      <c r="B181" s="13" t="s">
        <v>186</v>
      </c>
      <c r="C181" s="32">
        <v>326.69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5">
        <v>326.69</v>
      </c>
      <c r="Q181" s="14">
        <f t="shared" si="27"/>
        <v>326.69</v>
      </c>
    </row>
    <row r="182" spans="1:18" x14ac:dyDescent="0.3">
      <c r="A182" s="12">
        <v>142.19999999999999</v>
      </c>
      <c r="B182" s="13" t="s">
        <v>187</v>
      </c>
      <c r="C182" s="32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5"/>
      <c r="Q182" s="14">
        <f t="shared" si="27"/>
        <v>0</v>
      </c>
    </row>
    <row r="183" spans="1:18" ht="31.2" x14ac:dyDescent="0.3">
      <c r="A183" s="12">
        <v>143</v>
      </c>
      <c r="B183" s="13" t="s">
        <v>188</v>
      </c>
      <c r="C183" s="32">
        <v>16.8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5">
        <v>16.8</v>
      </c>
      <c r="Q183" s="14">
        <f t="shared" si="27"/>
        <v>16.8</v>
      </c>
    </row>
    <row r="184" spans="1:18" x14ac:dyDescent="0.3">
      <c r="A184" s="12">
        <v>144</v>
      </c>
      <c r="B184" s="13" t="s">
        <v>189</v>
      </c>
      <c r="C184" s="35">
        <v>8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5">
        <f>1+1+1+1+1+1+1+1</f>
        <v>8</v>
      </c>
      <c r="Q184" s="14">
        <f t="shared" si="27"/>
        <v>8</v>
      </c>
    </row>
    <row r="185" spans="1:18" x14ac:dyDescent="0.3">
      <c r="A185" s="12">
        <v>145</v>
      </c>
      <c r="B185" s="13" t="s">
        <v>190</v>
      </c>
      <c r="C185" s="41">
        <v>0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5"/>
      <c r="Q185" s="14"/>
    </row>
    <row r="186" spans="1:18" x14ac:dyDescent="0.3">
      <c r="A186" s="11"/>
      <c r="B186" s="58" t="s">
        <v>191</v>
      </c>
      <c r="C186" s="34">
        <f>C187</f>
        <v>0</v>
      </c>
      <c r="D186" s="34">
        <f t="shared" ref="D186:P186" si="36">D187</f>
        <v>0</v>
      </c>
      <c r="E186" s="34">
        <f t="shared" si="36"/>
        <v>0</v>
      </c>
      <c r="F186" s="34">
        <f t="shared" si="36"/>
        <v>0</v>
      </c>
      <c r="G186" s="34">
        <f t="shared" si="36"/>
        <v>0</v>
      </c>
      <c r="H186" s="34">
        <f t="shared" si="36"/>
        <v>0</v>
      </c>
      <c r="I186" s="34">
        <f t="shared" si="36"/>
        <v>0</v>
      </c>
      <c r="J186" s="34">
        <f t="shared" si="36"/>
        <v>0</v>
      </c>
      <c r="K186" s="34">
        <f t="shared" si="36"/>
        <v>0</v>
      </c>
      <c r="L186" s="34">
        <f t="shared" si="36"/>
        <v>0</v>
      </c>
      <c r="M186" s="34">
        <f t="shared" si="36"/>
        <v>0</v>
      </c>
      <c r="N186" s="34">
        <f t="shared" si="36"/>
        <v>0</v>
      </c>
      <c r="O186" s="34">
        <f t="shared" si="36"/>
        <v>0</v>
      </c>
      <c r="P186" s="34">
        <f t="shared" si="36"/>
        <v>0</v>
      </c>
      <c r="Q186" s="14">
        <f t="shared" si="27"/>
        <v>0</v>
      </c>
    </row>
    <row r="187" spans="1:18" x14ac:dyDescent="0.3">
      <c r="A187" s="12">
        <v>146</v>
      </c>
      <c r="B187" s="13" t="s">
        <v>192</v>
      </c>
      <c r="C187" s="42">
        <v>0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5"/>
      <c r="Q187" s="14"/>
    </row>
    <row r="188" spans="1:18" x14ac:dyDescent="0.3">
      <c r="A188" s="11"/>
      <c r="B188" s="58" t="s">
        <v>193</v>
      </c>
      <c r="C188" s="37">
        <f>C189</f>
        <v>0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5"/>
      <c r="Q188" s="14"/>
    </row>
    <row r="189" spans="1:18" x14ac:dyDescent="0.3">
      <c r="A189" s="12">
        <v>147</v>
      </c>
      <c r="B189" s="13" t="s">
        <v>103</v>
      </c>
      <c r="C189" s="32">
        <v>0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5"/>
      <c r="Q189" s="14"/>
    </row>
    <row r="190" spans="1:18" ht="31.2" x14ac:dyDescent="0.3">
      <c r="A190" s="11">
        <v>148</v>
      </c>
      <c r="B190" s="54" t="s">
        <v>194</v>
      </c>
      <c r="C190" s="40">
        <v>0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5"/>
      <c r="Q190" s="14"/>
    </row>
    <row r="191" spans="1:18" x14ac:dyDescent="0.3">
      <c r="A191" s="11">
        <v>149</v>
      </c>
      <c r="B191" s="54" t="s">
        <v>195</v>
      </c>
      <c r="C191" s="43">
        <v>24.5</v>
      </c>
      <c r="D191" s="14">
        <f>1.75+1.75+4.1</f>
        <v>7.6</v>
      </c>
      <c r="E191" s="70"/>
      <c r="F191" s="14">
        <f>1.75+1+3.3</f>
        <v>6.05</v>
      </c>
      <c r="G191" s="70"/>
      <c r="H191" s="70">
        <f>1+1</f>
        <v>2</v>
      </c>
      <c r="I191" s="14">
        <f>1.75+1.2</f>
        <v>2.95</v>
      </c>
      <c r="J191" s="70"/>
      <c r="K191" s="70"/>
      <c r="L191" s="70"/>
      <c r="M191" s="14">
        <f>1.75+1.25</f>
        <v>3</v>
      </c>
      <c r="N191" s="14">
        <f>1.75+1.15</f>
        <v>2.9</v>
      </c>
      <c r="O191" s="70"/>
      <c r="P191" s="15"/>
      <c r="Q191" s="14">
        <f t="shared" ref="Q191" si="37">SUM(D191:P191)</f>
        <v>24.499999999999996</v>
      </c>
    </row>
    <row r="192" spans="1:18" ht="22.5" customHeight="1" x14ac:dyDescent="0.3">
      <c r="A192" s="9" t="s">
        <v>196</v>
      </c>
      <c r="B192" s="53" t="s">
        <v>197</v>
      </c>
      <c r="C192" s="44">
        <f>C193+C198+C204+C210+C218+C223+C227+C234+C236+C244+C247+C251+C255+C256+C257</f>
        <v>18164.639999999996</v>
      </c>
      <c r="D192" s="10">
        <f t="shared" ref="D192:P192" si="38">D193+D198+D204+D210+D218+D223+D227+D234+D236+D244+D247+D251+D255+D256</f>
        <v>255.83558000000002</v>
      </c>
      <c r="E192" s="10">
        <f t="shared" si="38"/>
        <v>171.20375999999999</v>
      </c>
      <c r="F192" s="10">
        <f t="shared" si="38"/>
        <v>175.10311999999999</v>
      </c>
      <c r="G192" s="10">
        <f t="shared" si="38"/>
        <v>159.70311999999998</v>
      </c>
      <c r="H192" s="10">
        <f t="shared" si="38"/>
        <v>238.59262000000001</v>
      </c>
      <c r="I192" s="10">
        <f t="shared" si="38"/>
        <v>211.48677999999998</v>
      </c>
      <c r="J192" s="10">
        <f t="shared" si="38"/>
        <v>143.77458000000001</v>
      </c>
      <c r="K192" s="10">
        <f t="shared" si="38"/>
        <v>180.51174</v>
      </c>
      <c r="L192" s="10">
        <f t="shared" si="38"/>
        <v>200.25252</v>
      </c>
      <c r="M192" s="10">
        <f t="shared" si="38"/>
        <v>177.42241999999999</v>
      </c>
      <c r="N192" s="10">
        <f t="shared" si="38"/>
        <v>202.99578</v>
      </c>
      <c r="O192" s="10">
        <f t="shared" si="38"/>
        <v>199.42494000000002</v>
      </c>
      <c r="P192" s="10">
        <f t="shared" si="38"/>
        <v>15790.748199999998</v>
      </c>
      <c r="Q192" s="75">
        <f t="shared" si="27"/>
        <v>18107.055159999996</v>
      </c>
      <c r="R192" s="72"/>
    </row>
    <row r="193" spans="1:18" ht="31.2" x14ac:dyDescent="0.3">
      <c r="A193" s="11"/>
      <c r="B193" s="54" t="s">
        <v>166</v>
      </c>
      <c r="C193" s="45">
        <f>SUM(C194:C197)</f>
        <v>740.93000000000006</v>
      </c>
      <c r="D193" s="45">
        <f t="shared" ref="D193:P193" si="39">SUM(D194:D197)</f>
        <v>13.2</v>
      </c>
      <c r="E193" s="45">
        <f t="shared" si="39"/>
        <v>6</v>
      </c>
      <c r="F193" s="45">
        <f t="shared" si="39"/>
        <v>8.6999999999999993</v>
      </c>
      <c r="G193" s="45">
        <f t="shared" si="39"/>
        <v>2.4</v>
      </c>
      <c r="H193" s="45">
        <f t="shared" si="39"/>
        <v>14.4</v>
      </c>
      <c r="I193" s="45">
        <f t="shared" si="39"/>
        <v>10.199999999999999</v>
      </c>
      <c r="J193" s="45">
        <f t="shared" si="39"/>
        <v>5.0999999999999996</v>
      </c>
      <c r="K193" s="45">
        <f t="shared" si="39"/>
        <v>4.8</v>
      </c>
      <c r="L193" s="45">
        <f t="shared" si="39"/>
        <v>12</v>
      </c>
      <c r="M193" s="45">
        <f t="shared" si="39"/>
        <v>9</v>
      </c>
      <c r="N193" s="45">
        <f t="shared" si="39"/>
        <v>9.6</v>
      </c>
      <c r="O193" s="45">
        <f t="shared" si="39"/>
        <v>11.7</v>
      </c>
      <c r="P193" s="45">
        <f t="shared" si="39"/>
        <v>633.83000000000004</v>
      </c>
      <c r="Q193" s="69">
        <f t="shared" si="27"/>
        <v>740.93000000000006</v>
      </c>
    </row>
    <row r="194" spans="1:18" ht="31.2" x14ac:dyDescent="0.3">
      <c r="A194" s="12">
        <v>150</v>
      </c>
      <c r="B194" s="13" t="s">
        <v>198</v>
      </c>
      <c r="C194" s="46">
        <v>475.23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5">
        <v>475.23</v>
      </c>
      <c r="Q194" s="75">
        <f t="shared" si="27"/>
        <v>475.23</v>
      </c>
    </row>
    <row r="195" spans="1:18" x14ac:dyDescent="0.3">
      <c r="A195" s="12">
        <v>151</v>
      </c>
      <c r="B195" s="13" t="s">
        <v>199</v>
      </c>
      <c r="C195" s="38">
        <v>204.85</v>
      </c>
      <c r="D195" s="14">
        <v>13.2</v>
      </c>
      <c r="E195" s="14">
        <v>6</v>
      </c>
      <c r="F195" s="14">
        <v>8.6999999999999993</v>
      </c>
      <c r="G195" s="14">
        <v>2.4</v>
      </c>
      <c r="H195" s="14">
        <v>14.4</v>
      </c>
      <c r="I195" s="14">
        <v>10.199999999999999</v>
      </c>
      <c r="J195" s="14">
        <v>5.0999999999999996</v>
      </c>
      <c r="K195" s="68">
        <v>4.8</v>
      </c>
      <c r="L195" s="14">
        <v>12</v>
      </c>
      <c r="M195" s="14">
        <v>9</v>
      </c>
      <c r="N195" s="14">
        <v>9.6</v>
      </c>
      <c r="O195" s="14">
        <v>11.7</v>
      </c>
      <c r="P195" s="15">
        <v>97.75</v>
      </c>
      <c r="Q195" s="75">
        <f t="shared" si="27"/>
        <v>204.85</v>
      </c>
      <c r="R195" s="72"/>
    </row>
    <row r="196" spans="1:18" x14ac:dyDescent="0.3">
      <c r="A196" s="12">
        <v>152</v>
      </c>
      <c r="B196" s="13" t="s">
        <v>200</v>
      </c>
      <c r="C196" s="35">
        <v>48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5">
        <v>48</v>
      </c>
      <c r="Q196" s="75">
        <f t="shared" si="27"/>
        <v>48</v>
      </c>
    </row>
    <row r="197" spans="1:18" x14ac:dyDescent="0.3">
      <c r="A197" s="12">
        <v>153</v>
      </c>
      <c r="B197" s="13" t="s">
        <v>201</v>
      </c>
      <c r="C197" s="35">
        <v>12.85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5">
        <v>12.85</v>
      </c>
      <c r="Q197" s="75">
        <f t="shared" si="27"/>
        <v>12.85</v>
      </c>
    </row>
    <row r="198" spans="1:18" ht="31.2" x14ac:dyDescent="0.3">
      <c r="A198" s="11"/>
      <c r="B198" s="54" t="s">
        <v>202</v>
      </c>
      <c r="C198" s="37">
        <f>SUM(C199:C203)</f>
        <v>155</v>
      </c>
      <c r="D198" s="45">
        <f t="shared" ref="D198:O198" si="40">SUM(D199:D202)</f>
        <v>0</v>
      </c>
      <c r="E198" s="45">
        <f t="shared" si="40"/>
        <v>0</v>
      </c>
      <c r="F198" s="45">
        <f t="shared" si="40"/>
        <v>0</v>
      </c>
      <c r="G198" s="45">
        <f t="shared" si="40"/>
        <v>0</v>
      </c>
      <c r="H198" s="45">
        <f t="shared" si="40"/>
        <v>0</v>
      </c>
      <c r="I198" s="45">
        <f t="shared" si="40"/>
        <v>0</v>
      </c>
      <c r="J198" s="45">
        <f t="shared" si="40"/>
        <v>0</v>
      </c>
      <c r="K198" s="45">
        <f t="shared" si="40"/>
        <v>0</v>
      </c>
      <c r="L198" s="45">
        <f t="shared" si="40"/>
        <v>0</v>
      </c>
      <c r="M198" s="45">
        <f t="shared" si="40"/>
        <v>0</v>
      </c>
      <c r="N198" s="45">
        <f t="shared" si="40"/>
        <v>0</v>
      </c>
      <c r="O198" s="45">
        <f t="shared" si="40"/>
        <v>0</v>
      </c>
      <c r="P198" s="45">
        <f>SUM(P199:P203)</f>
        <v>155</v>
      </c>
      <c r="Q198" s="69">
        <f>SUM(Q199:Q203)</f>
        <v>155</v>
      </c>
    </row>
    <row r="199" spans="1:18" x14ac:dyDescent="0.3">
      <c r="A199" s="12">
        <v>154</v>
      </c>
      <c r="B199" s="13" t="s">
        <v>203</v>
      </c>
      <c r="C199" s="32">
        <v>0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5"/>
      <c r="Q199" s="14"/>
    </row>
    <row r="200" spans="1:18" x14ac:dyDescent="0.3">
      <c r="A200" s="12">
        <v>155</v>
      </c>
      <c r="B200" s="13" t="s">
        <v>204</v>
      </c>
      <c r="C200" s="32">
        <v>0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5"/>
      <c r="Q200" s="14"/>
    </row>
    <row r="201" spans="1:18" ht="31.2" x14ac:dyDescent="0.3">
      <c r="A201" s="12">
        <v>156</v>
      </c>
      <c r="B201" s="13" t="s">
        <v>205</v>
      </c>
      <c r="C201" s="32">
        <v>95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5">
        <v>95</v>
      </c>
      <c r="Q201" s="14">
        <v>95</v>
      </c>
    </row>
    <row r="202" spans="1:18" x14ac:dyDescent="0.3">
      <c r="A202" s="12">
        <v>157</v>
      </c>
      <c r="B202" s="13" t="s">
        <v>206</v>
      </c>
      <c r="C202" s="32">
        <v>0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5"/>
      <c r="Q202" s="14"/>
    </row>
    <row r="203" spans="1:18" x14ac:dyDescent="0.3">
      <c r="A203" s="12">
        <v>158</v>
      </c>
      <c r="B203" s="13" t="s">
        <v>207</v>
      </c>
      <c r="C203" s="32">
        <v>60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5">
        <v>60</v>
      </c>
      <c r="Q203" s="14">
        <v>60</v>
      </c>
    </row>
    <row r="204" spans="1:18" ht="31.2" x14ac:dyDescent="0.3">
      <c r="A204" s="11"/>
      <c r="B204" s="54" t="s">
        <v>170</v>
      </c>
      <c r="C204" s="37">
        <f>SUM(C205:C209)</f>
        <v>997.2600000000001</v>
      </c>
      <c r="D204" s="59">
        <f t="shared" ref="D204:P204" si="41">SUM(D205:D209)</f>
        <v>128.31308000000001</v>
      </c>
      <c r="E204" s="59">
        <f t="shared" si="41"/>
        <v>50.881259999999997</v>
      </c>
      <c r="F204" s="59">
        <f t="shared" si="41"/>
        <v>52.080620000000003</v>
      </c>
      <c r="G204" s="59">
        <f t="shared" si="41"/>
        <v>42.980619999999995</v>
      </c>
      <c r="H204" s="59">
        <f t="shared" si="41"/>
        <v>109.86012000000001</v>
      </c>
      <c r="I204" s="59">
        <f t="shared" si="41"/>
        <v>86.964279999999988</v>
      </c>
      <c r="J204" s="59">
        <f t="shared" si="41"/>
        <v>24.352080000000001</v>
      </c>
      <c r="K204" s="59">
        <f t="shared" si="41"/>
        <v>61.389240000000001</v>
      </c>
      <c r="L204" s="59">
        <f t="shared" si="41"/>
        <v>73.930019999999999</v>
      </c>
      <c r="M204" s="59">
        <f t="shared" si="41"/>
        <v>54.069919999999996</v>
      </c>
      <c r="N204" s="59">
        <f t="shared" si="41"/>
        <v>79.073279999999997</v>
      </c>
      <c r="O204" s="59">
        <f t="shared" si="41"/>
        <v>73.372439999999997</v>
      </c>
      <c r="P204" s="37">
        <f t="shared" si="41"/>
        <v>159.98820000000001</v>
      </c>
      <c r="Q204" s="69">
        <f t="shared" ref="Q204:Q269" si="42">SUM(D204:P204)</f>
        <v>997.25515999999993</v>
      </c>
    </row>
    <row r="205" spans="1:18" ht="31.2" x14ac:dyDescent="0.3">
      <c r="A205" s="12">
        <v>159</v>
      </c>
      <c r="B205" s="13" t="s">
        <v>171</v>
      </c>
      <c r="C205" s="46">
        <v>811.86</v>
      </c>
      <c r="D205" s="14">
        <v>115.02958</v>
      </c>
      <c r="E205" s="14">
        <v>48.95626</v>
      </c>
      <c r="F205" s="14">
        <v>49.00562</v>
      </c>
      <c r="G205" s="14">
        <v>42.055619999999998</v>
      </c>
      <c r="H205" s="14">
        <v>106.08512</v>
      </c>
      <c r="I205" s="14">
        <v>79.755279999999999</v>
      </c>
      <c r="J205" s="14">
        <v>23.352080000000001</v>
      </c>
      <c r="K205" s="14">
        <v>59.939239999999998</v>
      </c>
      <c r="L205" s="14">
        <v>65.26652</v>
      </c>
      <c r="M205" s="14">
        <v>46.413919999999997</v>
      </c>
      <c r="N205" s="14">
        <v>76.223280000000003</v>
      </c>
      <c r="O205" s="14">
        <v>70.372439999999997</v>
      </c>
      <c r="P205" s="15">
        <f>91.5322-62.13</f>
        <v>29.402200000000001</v>
      </c>
      <c r="Q205" s="75">
        <f t="shared" si="42"/>
        <v>811.85716000000002</v>
      </c>
      <c r="R205" s="72"/>
    </row>
    <row r="206" spans="1:18" x14ac:dyDescent="0.3">
      <c r="A206" s="12">
        <v>160</v>
      </c>
      <c r="B206" s="13" t="s">
        <v>208</v>
      </c>
      <c r="C206" s="32">
        <v>32.06</v>
      </c>
      <c r="D206" s="14">
        <v>9.2835000000000001</v>
      </c>
      <c r="E206" s="14">
        <v>0</v>
      </c>
      <c r="F206" s="14">
        <v>0</v>
      </c>
      <c r="G206" s="14">
        <v>0</v>
      </c>
      <c r="H206" s="14">
        <v>0</v>
      </c>
      <c r="I206" s="14">
        <v>3.984</v>
      </c>
      <c r="J206" s="14">
        <v>0</v>
      </c>
      <c r="K206" s="14">
        <v>0</v>
      </c>
      <c r="L206" s="14">
        <v>4.8135000000000003</v>
      </c>
      <c r="M206" s="14">
        <v>4.7309999999999999</v>
      </c>
      <c r="N206" s="14">
        <v>0</v>
      </c>
      <c r="O206" s="14">
        <v>0</v>
      </c>
      <c r="P206" s="15">
        <f>3.646+5.6</f>
        <v>9.2459999999999987</v>
      </c>
      <c r="Q206" s="75">
        <f t="shared" si="42"/>
        <v>32.057999999999993</v>
      </c>
      <c r="R206" s="72"/>
    </row>
    <row r="207" spans="1:18" x14ac:dyDescent="0.3">
      <c r="A207" s="12">
        <v>161</v>
      </c>
      <c r="B207" s="13" t="s">
        <v>173</v>
      </c>
      <c r="C207" s="46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5">
        <v>0</v>
      </c>
      <c r="Q207" s="75">
        <f t="shared" si="42"/>
        <v>0</v>
      </c>
    </row>
    <row r="208" spans="1:18" x14ac:dyDescent="0.3">
      <c r="A208" s="12">
        <v>162</v>
      </c>
      <c r="B208" s="13" t="s">
        <v>174</v>
      </c>
      <c r="C208" s="32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5">
        <v>0</v>
      </c>
      <c r="Q208" s="75">
        <f t="shared" si="42"/>
        <v>0</v>
      </c>
    </row>
    <row r="209" spans="1:18" x14ac:dyDescent="0.3">
      <c r="A209" s="12">
        <v>163</v>
      </c>
      <c r="B209" s="13" t="s">
        <v>209</v>
      </c>
      <c r="C209" s="32">
        <v>153.34</v>
      </c>
      <c r="D209" s="14">
        <v>4</v>
      </c>
      <c r="E209" s="14">
        <v>1.925</v>
      </c>
      <c r="F209" s="14">
        <v>3.0750000000000002</v>
      </c>
      <c r="G209" s="14">
        <v>0.92500000000000004</v>
      </c>
      <c r="H209" s="14">
        <v>3.7749999999999999</v>
      </c>
      <c r="I209" s="14">
        <v>3.2250000000000001</v>
      </c>
      <c r="J209" s="14">
        <v>1</v>
      </c>
      <c r="K209" s="14">
        <v>1.45</v>
      </c>
      <c r="L209" s="14">
        <v>3.85</v>
      </c>
      <c r="M209" s="14">
        <v>2.9249999999999998</v>
      </c>
      <c r="N209" s="14">
        <v>2.85</v>
      </c>
      <c r="O209" s="14">
        <v>3</v>
      </c>
      <c r="P209" s="15">
        <f>5.34+116</f>
        <v>121.34</v>
      </c>
      <c r="Q209" s="75">
        <f t="shared" si="42"/>
        <v>153.34</v>
      </c>
    </row>
    <row r="210" spans="1:18" ht="31.2" x14ac:dyDescent="0.3">
      <c r="A210" s="11"/>
      <c r="B210" s="54" t="s">
        <v>178</v>
      </c>
      <c r="C210" s="37">
        <f>SUM(C211:C217)</f>
        <v>3820.4300000000003</v>
      </c>
      <c r="D210" s="37">
        <f t="shared" ref="D210:P210" si="43">SUM(D211:D217)</f>
        <v>0</v>
      </c>
      <c r="E210" s="37">
        <f t="shared" si="43"/>
        <v>0</v>
      </c>
      <c r="F210" s="37">
        <f t="shared" si="43"/>
        <v>0</v>
      </c>
      <c r="G210" s="37">
        <f t="shared" si="43"/>
        <v>0</v>
      </c>
      <c r="H210" s="37">
        <f t="shared" si="43"/>
        <v>0</v>
      </c>
      <c r="I210" s="37">
        <f t="shared" si="43"/>
        <v>0</v>
      </c>
      <c r="J210" s="37">
        <f t="shared" si="43"/>
        <v>0</v>
      </c>
      <c r="K210" s="37">
        <f t="shared" si="43"/>
        <v>0</v>
      </c>
      <c r="L210" s="37">
        <f t="shared" si="43"/>
        <v>0</v>
      </c>
      <c r="M210" s="37">
        <f t="shared" si="43"/>
        <v>0</v>
      </c>
      <c r="N210" s="37">
        <f t="shared" si="43"/>
        <v>0</v>
      </c>
      <c r="O210" s="37">
        <f t="shared" si="43"/>
        <v>0</v>
      </c>
      <c r="P210" s="37">
        <f t="shared" si="43"/>
        <v>3820.4300000000003</v>
      </c>
      <c r="Q210" s="14">
        <f t="shared" si="42"/>
        <v>3820.4300000000003</v>
      </c>
      <c r="R210" s="72"/>
    </row>
    <row r="211" spans="1:18" x14ac:dyDescent="0.3">
      <c r="A211" s="12">
        <v>164</v>
      </c>
      <c r="B211" s="13" t="s">
        <v>210</v>
      </c>
      <c r="C211" s="32">
        <v>69.58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76">
        <v>69.58</v>
      </c>
      <c r="Q211" s="14">
        <f t="shared" si="42"/>
        <v>69.58</v>
      </c>
    </row>
    <row r="212" spans="1:18" x14ac:dyDescent="0.3">
      <c r="A212" s="12">
        <v>165</v>
      </c>
      <c r="B212" s="13" t="s">
        <v>211</v>
      </c>
      <c r="C212" s="32">
        <v>0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76">
        <v>0</v>
      </c>
      <c r="Q212" s="14">
        <f t="shared" si="42"/>
        <v>0</v>
      </c>
    </row>
    <row r="213" spans="1:18" x14ac:dyDescent="0.3">
      <c r="A213" s="12">
        <v>166</v>
      </c>
      <c r="B213" s="13" t="s">
        <v>212</v>
      </c>
      <c r="C213" s="35">
        <v>56.29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77">
        <v>56.29</v>
      </c>
      <c r="Q213" s="14">
        <f t="shared" si="42"/>
        <v>56.29</v>
      </c>
    </row>
    <row r="214" spans="1:18" x14ac:dyDescent="0.3">
      <c r="A214" s="12">
        <v>167</v>
      </c>
      <c r="B214" s="13" t="s">
        <v>213</v>
      </c>
      <c r="C214" s="35">
        <v>170.79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77">
        <v>170.79</v>
      </c>
      <c r="Q214" s="14">
        <f t="shared" si="42"/>
        <v>170.79</v>
      </c>
    </row>
    <row r="215" spans="1:18" x14ac:dyDescent="0.3">
      <c r="A215" s="12">
        <v>168</v>
      </c>
      <c r="B215" s="13" t="s">
        <v>214</v>
      </c>
      <c r="C215" s="35">
        <v>228.08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77">
        <v>228.08</v>
      </c>
      <c r="Q215" s="14">
        <f t="shared" si="42"/>
        <v>228.08</v>
      </c>
    </row>
    <row r="216" spans="1:18" x14ac:dyDescent="0.3">
      <c r="A216" s="12">
        <v>169</v>
      </c>
      <c r="B216" s="13" t="s">
        <v>215</v>
      </c>
      <c r="C216" s="32">
        <v>3295.69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76">
        <v>3295.69</v>
      </c>
      <c r="Q216" s="14">
        <f t="shared" si="42"/>
        <v>3295.69</v>
      </c>
    </row>
    <row r="217" spans="1:18" ht="31.2" x14ac:dyDescent="0.3">
      <c r="A217" s="12">
        <v>170</v>
      </c>
      <c r="B217" s="13" t="s">
        <v>216</v>
      </c>
      <c r="C217" s="32">
        <v>0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5"/>
      <c r="Q217" s="14"/>
    </row>
    <row r="218" spans="1:18" x14ac:dyDescent="0.3">
      <c r="A218" s="11"/>
      <c r="B218" s="54" t="s">
        <v>217</v>
      </c>
      <c r="C218" s="37">
        <f>SUM(C219:C222)</f>
        <v>106.39</v>
      </c>
      <c r="D218" s="37">
        <f t="shared" ref="D218:P218" si="44">SUM(D219:D222)</f>
        <v>8.86</v>
      </c>
      <c r="E218" s="37">
        <f t="shared" si="44"/>
        <v>8.86</v>
      </c>
      <c r="F218" s="37">
        <f t="shared" si="44"/>
        <v>8.86</v>
      </c>
      <c r="G218" s="37">
        <f t="shared" si="44"/>
        <v>8.86</v>
      </c>
      <c r="H218" s="37">
        <f t="shared" si="44"/>
        <v>8.8699999999999992</v>
      </c>
      <c r="I218" s="37">
        <f t="shared" si="44"/>
        <v>8.86</v>
      </c>
      <c r="J218" s="37">
        <f t="shared" si="44"/>
        <v>8.86</v>
      </c>
      <c r="K218" s="37">
        <f t="shared" si="44"/>
        <v>8.86</v>
      </c>
      <c r="L218" s="37">
        <f t="shared" si="44"/>
        <v>8.86</v>
      </c>
      <c r="M218" s="37">
        <f t="shared" si="44"/>
        <v>8.89</v>
      </c>
      <c r="N218" s="37">
        <f t="shared" si="44"/>
        <v>8.86</v>
      </c>
      <c r="O218" s="37">
        <f t="shared" si="44"/>
        <v>8.89</v>
      </c>
      <c r="P218" s="37">
        <f t="shared" si="44"/>
        <v>0</v>
      </c>
      <c r="Q218" s="14">
        <f t="shared" si="42"/>
        <v>106.38999999999999</v>
      </c>
    </row>
    <row r="219" spans="1:18" x14ac:dyDescent="0.3">
      <c r="A219" s="12">
        <v>171</v>
      </c>
      <c r="B219" s="13" t="s">
        <v>218</v>
      </c>
      <c r="C219" s="32">
        <v>0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5"/>
      <c r="Q219" s="14">
        <f t="shared" si="42"/>
        <v>0</v>
      </c>
    </row>
    <row r="220" spans="1:18" x14ac:dyDescent="0.3">
      <c r="A220" s="12">
        <v>172</v>
      </c>
      <c r="B220" s="13" t="s">
        <v>219</v>
      </c>
      <c r="C220" s="32">
        <v>0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5"/>
      <c r="Q220" s="14">
        <f t="shared" si="42"/>
        <v>0</v>
      </c>
    </row>
    <row r="221" spans="1:18" x14ac:dyDescent="0.3">
      <c r="A221" s="12">
        <v>173</v>
      </c>
      <c r="B221" s="13" t="s">
        <v>220</v>
      </c>
      <c r="C221" s="32">
        <v>106.39</v>
      </c>
      <c r="D221" s="14">
        <v>8.86</v>
      </c>
      <c r="E221" s="14">
        <v>8.86</v>
      </c>
      <c r="F221" s="14">
        <v>8.86</v>
      </c>
      <c r="G221" s="14">
        <v>8.86</v>
      </c>
      <c r="H221" s="14">
        <v>8.8699999999999992</v>
      </c>
      <c r="I221" s="14">
        <v>8.86</v>
      </c>
      <c r="J221" s="14">
        <v>8.86</v>
      </c>
      <c r="K221" s="14">
        <v>8.86</v>
      </c>
      <c r="L221" s="14">
        <v>8.86</v>
      </c>
      <c r="M221" s="14">
        <v>8.89</v>
      </c>
      <c r="N221" s="14">
        <v>8.86</v>
      </c>
      <c r="O221" s="14">
        <v>8.89</v>
      </c>
      <c r="P221" s="15"/>
      <c r="Q221" s="14">
        <f t="shared" si="42"/>
        <v>106.38999999999999</v>
      </c>
    </row>
    <row r="222" spans="1:18" x14ac:dyDescent="0.3">
      <c r="A222" s="12">
        <v>174</v>
      </c>
      <c r="B222" s="13" t="s">
        <v>221</v>
      </c>
      <c r="C222" s="32">
        <v>0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5"/>
      <c r="Q222" s="14"/>
    </row>
    <row r="223" spans="1:18" x14ac:dyDescent="0.3">
      <c r="A223" s="11"/>
      <c r="B223" s="54" t="s">
        <v>181</v>
      </c>
      <c r="C223" s="30">
        <f>SUM(C224:C226)</f>
        <v>1105.69</v>
      </c>
      <c r="D223" s="30">
        <f t="shared" ref="D223:P223" si="45">SUM(D224:D226)</f>
        <v>0</v>
      </c>
      <c r="E223" s="30">
        <f t="shared" si="45"/>
        <v>0</v>
      </c>
      <c r="F223" s="30">
        <f t="shared" si="45"/>
        <v>0</v>
      </c>
      <c r="G223" s="30">
        <f t="shared" si="45"/>
        <v>0</v>
      </c>
      <c r="H223" s="30">
        <f t="shared" si="45"/>
        <v>0</v>
      </c>
      <c r="I223" s="30">
        <f t="shared" si="45"/>
        <v>0</v>
      </c>
      <c r="J223" s="30">
        <f t="shared" si="45"/>
        <v>0</v>
      </c>
      <c r="K223" s="30">
        <f t="shared" si="45"/>
        <v>0</v>
      </c>
      <c r="L223" s="30">
        <f t="shared" si="45"/>
        <v>0</v>
      </c>
      <c r="M223" s="30">
        <f t="shared" si="45"/>
        <v>0</v>
      </c>
      <c r="N223" s="30">
        <f t="shared" si="45"/>
        <v>0</v>
      </c>
      <c r="O223" s="30">
        <f t="shared" si="45"/>
        <v>0</v>
      </c>
      <c r="P223" s="30">
        <f t="shared" si="45"/>
        <v>1105.69</v>
      </c>
      <c r="Q223" s="14">
        <f t="shared" si="42"/>
        <v>1105.69</v>
      </c>
    </row>
    <row r="224" spans="1:18" x14ac:dyDescent="0.3">
      <c r="A224" s="12">
        <v>175</v>
      </c>
      <c r="B224" s="13" t="s">
        <v>182</v>
      </c>
      <c r="C224" s="46">
        <v>858.22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78">
        <v>858.22</v>
      </c>
      <c r="Q224" s="14">
        <f t="shared" si="42"/>
        <v>858.22</v>
      </c>
    </row>
    <row r="225" spans="1:17" x14ac:dyDescent="0.3">
      <c r="A225" s="12">
        <v>176</v>
      </c>
      <c r="B225" s="13" t="s">
        <v>183</v>
      </c>
      <c r="C225" s="32">
        <v>237.47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76">
        <v>237.47</v>
      </c>
      <c r="Q225" s="14">
        <f t="shared" si="42"/>
        <v>237.47</v>
      </c>
    </row>
    <row r="226" spans="1:17" x14ac:dyDescent="0.3">
      <c r="A226" s="12">
        <v>177</v>
      </c>
      <c r="B226" s="13" t="s">
        <v>184</v>
      </c>
      <c r="C226" s="35">
        <v>10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77">
        <v>10</v>
      </c>
      <c r="Q226" s="14">
        <f t="shared" si="42"/>
        <v>10</v>
      </c>
    </row>
    <row r="227" spans="1:17" ht="31.2" x14ac:dyDescent="0.3">
      <c r="A227" s="11"/>
      <c r="B227" s="54" t="s">
        <v>222</v>
      </c>
      <c r="C227" s="37">
        <f>SUM(C228:C233)</f>
        <v>945.7</v>
      </c>
      <c r="D227" s="37">
        <f t="shared" ref="D227:P227" si="46">SUM(D228:D233)</f>
        <v>6</v>
      </c>
      <c r="E227" s="37">
        <f t="shared" si="46"/>
        <v>6</v>
      </c>
      <c r="F227" s="37">
        <f t="shared" si="46"/>
        <v>6</v>
      </c>
      <c r="G227" s="37">
        <f t="shared" si="46"/>
        <v>6</v>
      </c>
      <c r="H227" s="37">
        <f t="shared" si="46"/>
        <v>6</v>
      </c>
      <c r="I227" s="37">
        <f t="shared" si="46"/>
        <v>6</v>
      </c>
      <c r="J227" s="37">
        <f t="shared" si="46"/>
        <v>6</v>
      </c>
      <c r="K227" s="37">
        <f t="shared" si="46"/>
        <v>6</v>
      </c>
      <c r="L227" s="37">
        <f t="shared" si="46"/>
        <v>6</v>
      </c>
      <c r="M227" s="37">
        <f t="shared" si="46"/>
        <v>6</v>
      </c>
      <c r="N227" s="37">
        <f t="shared" si="46"/>
        <v>6</v>
      </c>
      <c r="O227" s="37">
        <f t="shared" si="46"/>
        <v>6</v>
      </c>
      <c r="P227" s="37">
        <f t="shared" si="46"/>
        <v>873.7</v>
      </c>
      <c r="Q227" s="14">
        <f t="shared" si="42"/>
        <v>945.7</v>
      </c>
    </row>
    <row r="228" spans="1:17" x14ac:dyDescent="0.3">
      <c r="A228" s="12">
        <v>178</v>
      </c>
      <c r="B228" s="13" t="s">
        <v>223</v>
      </c>
      <c r="C228" s="32">
        <v>0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5"/>
      <c r="Q228" s="14">
        <f t="shared" si="42"/>
        <v>0</v>
      </c>
    </row>
    <row r="229" spans="1:17" x14ac:dyDescent="0.3">
      <c r="A229" s="12">
        <v>179</v>
      </c>
      <c r="B229" s="13" t="s">
        <v>103</v>
      </c>
      <c r="C229" s="46">
        <v>80.819999999999993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78">
        <v>80.819999999999993</v>
      </c>
      <c r="Q229" s="14">
        <f t="shared" si="42"/>
        <v>80.819999999999993</v>
      </c>
    </row>
    <row r="230" spans="1:17" x14ac:dyDescent="0.3">
      <c r="A230" s="12">
        <v>180</v>
      </c>
      <c r="B230" s="13" t="s">
        <v>224</v>
      </c>
      <c r="C230" s="35">
        <v>524.22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77">
        <v>524.22</v>
      </c>
      <c r="Q230" s="14">
        <f t="shared" si="42"/>
        <v>524.22</v>
      </c>
    </row>
    <row r="231" spans="1:17" x14ac:dyDescent="0.3">
      <c r="A231" s="12">
        <v>181</v>
      </c>
      <c r="B231" s="13" t="s">
        <v>225</v>
      </c>
      <c r="C231" s="32">
        <v>179.71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76">
        <v>179.71</v>
      </c>
      <c r="Q231" s="14">
        <f t="shared" si="42"/>
        <v>179.71</v>
      </c>
    </row>
    <row r="232" spans="1:17" x14ac:dyDescent="0.3">
      <c r="A232" s="12">
        <v>182</v>
      </c>
      <c r="B232" s="13" t="s">
        <v>226</v>
      </c>
      <c r="C232" s="32">
        <v>83.99</v>
      </c>
      <c r="D232" s="14">
        <v>6</v>
      </c>
      <c r="E232" s="14">
        <v>6</v>
      </c>
      <c r="F232" s="14">
        <v>6</v>
      </c>
      <c r="G232" s="14">
        <v>6</v>
      </c>
      <c r="H232" s="14">
        <v>6</v>
      </c>
      <c r="I232" s="14">
        <v>6</v>
      </c>
      <c r="J232" s="14">
        <v>6</v>
      </c>
      <c r="K232" s="14">
        <v>6</v>
      </c>
      <c r="L232" s="14">
        <v>6</v>
      </c>
      <c r="M232" s="14">
        <v>6</v>
      </c>
      <c r="N232" s="14">
        <v>6</v>
      </c>
      <c r="O232" s="14">
        <v>6</v>
      </c>
      <c r="P232" s="15">
        <v>11.99</v>
      </c>
      <c r="Q232" s="14">
        <f t="shared" si="42"/>
        <v>83.99</v>
      </c>
    </row>
    <row r="233" spans="1:17" ht="31.2" x14ac:dyDescent="0.3">
      <c r="A233" s="12">
        <v>183</v>
      </c>
      <c r="B233" s="13" t="s">
        <v>227</v>
      </c>
      <c r="C233" s="32">
        <v>76.959999999999994</v>
      </c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76">
        <v>76.959999999999994</v>
      </c>
      <c r="Q233" s="14">
        <f t="shared" si="42"/>
        <v>76.959999999999994</v>
      </c>
    </row>
    <row r="234" spans="1:17" x14ac:dyDescent="0.3">
      <c r="A234" s="11"/>
      <c r="B234" s="58" t="s">
        <v>228</v>
      </c>
      <c r="C234" s="37">
        <f>C235</f>
        <v>227.62</v>
      </c>
      <c r="D234" s="37">
        <f t="shared" ref="D234:P234" si="47">D235</f>
        <v>0</v>
      </c>
      <c r="E234" s="37">
        <f t="shared" si="47"/>
        <v>0</v>
      </c>
      <c r="F234" s="37">
        <f t="shared" si="47"/>
        <v>0</v>
      </c>
      <c r="G234" s="37">
        <f t="shared" si="47"/>
        <v>0</v>
      </c>
      <c r="H234" s="37">
        <f t="shared" si="47"/>
        <v>0</v>
      </c>
      <c r="I234" s="37">
        <f t="shared" si="47"/>
        <v>0</v>
      </c>
      <c r="J234" s="37">
        <f t="shared" si="47"/>
        <v>0</v>
      </c>
      <c r="K234" s="37">
        <f t="shared" si="47"/>
        <v>0</v>
      </c>
      <c r="L234" s="37">
        <f t="shared" si="47"/>
        <v>0</v>
      </c>
      <c r="M234" s="37">
        <f t="shared" si="47"/>
        <v>0</v>
      </c>
      <c r="N234" s="37">
        <f t="shared" si="47"/>
        <v>0</v>
      </c>
      <c r="O234" s="37">
        <f t="shared" si="47"/>
        <v>0</v>
      </c>
      <c r="P234" s="37">
        <f t="shared" si="47"/>
        <v>227.62</v>
      </c>
      <c r="Q234" s="14">
        <f t="shared" si="42"/>
        <v>227.62</v>
      </c>
    </row>
    <row r="235" spans="1:17" ht="31.2" x14ac:dyDescent="0.3">
      <c r="A235" s="12">
        <v>184</v>
      </c>
      <c r="B235" s="13" t="s">
        <v>229</v>
      </c>
      <c r="C235" s="38">
        <v>227.62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5">
        <v>227.62</v>
      </c>
      <c r="Q235" s="14">
        <f t="shared" si="42"/>
        <v>227.62</v>
      </c>
    </row>
    <row r="236" spans="1:17" x14ac:dyDescent="0.3">
      <c r="A236" s="11"/>
      <c r="B236" s="54" t="s">
        <v>185</v>
      </c>
      <c r="C236" s="37">
        <f>SUM(C237:C243)</f>
        <v>8583.5399999999991</v>
      </c>
      <c r="D236" s="16">
        <f t="shared" ref="D236:P236" si="48">SUM(D237:D243)</f>
        <v>0</v>
      </c>
      <c r="E236" s="16">
        <f t="shared" si="48"/>
        <v>0</v>
      </c>
      <c r="F236" s="16">
        <f t="shared" si="48"/>
        <v>0</v>
      </c>
      <c r="G236" s="16">
        <f t="shared" si="48"/>
        <v>0</v>
      </c>
      <c r="H236" s="16">
        <f t="shared" si="48"/>
        <v>0</v>
      </c>
      <c r="I236" s="16">
        <f t="shared" si="48"/>
        <v>0</v>
      </c>
      <c r="J236" s="16">
        <f t="shared" si="48"/>
        <v>0</v>
      </c>
      <c r="K236" s="16">
        <f t="shared" si="48"/>
        <v>0</v>
      </c>
      <c r="L236" s="16">
        <f t="shared" si="48"/>
        <v>0</v>
      </c>
      <c r="M236" s="16">
        <f t="shared" si="48"/>
        <v>0</v>
      </c>
      <c r="N236" s="16">
        <f t="shared" si="48"/>
        <v>0</v>
      </c>
      <c r="O236" s="16">
        <f t="shared" si="48"/>
        <v>0</v>
      </c>
      <c r="P236" s="16">
        <f t="shared" si="48"/>
        <v>8583.5399999999991</v>
      </c>
      <c r="Q236" s="14">
        <f t="shared" si="42"/>
        <v>8583.5399999999991</v>
      </c>
    </row>
    <row r="237" spans="1:17" s="20" customFormat="1" x14ac:dyDescent="0.3">
      <c r="A237" s="12">
        <v>185.1</v>
      </c>
      <c r="B237" s="13" t="s">
        <v>186</v>
      </c>
      <c r="C237" s="32">
        <v>5946.84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76">
        <v>5946.84</v>
      </c>
      <c r="Q237" s="14">
        <f t="shared" si="42"/>
        <v>5946.84</v>
      </c>
    </row>
    <row r="238" spans="1:17" s="20" customFormat="1" x14ac:dyDescent="0.3">
      <c r="A238" s="12">
        <v>185.2</v>
      </c>
      <c r="B238" s="13" t="s">
        <v>187</v>
      </c>
      <c r="C238" s="32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76"/>
      <c r="Q238" s="14">
        <f t="shared" si="42"/>
        <v>0</v>
      </c>
    </row>
    <row r="239" spans="1:17" x14ac:dyDescent="0.3">
      <c r="A239" s="12">
        <v>186</v>
      </c>
      <c r="B239" s="13" t="s">
        <v>230</v>
      </c>
      <c r="C239" s="35">
        <v>658.23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77">
        <v>658.23</v>
      </c>
      <c r="Q239" s="14">
        <f t="shared" si="42"/>
        <v>658.23</v>
      </c>
    </row>
    <row r="240" spans="1:17" s="20" customFormat="1" x14ac:dyDescent="0.3">
      <c r="A240" s="12">
        <v>187</v>
      </c>
      <c r="B240" s="13" t="s">
        <v>231</v>
      </c>
      <c r="C240" s="32">
        <v>1189.17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76">
        <v>1189.17</v>
      </c>
      <c r="Q240" s="14">
        <f t="shared" si="42"/>
        <v>1189.17</v>
      </c>
    </row>
    <row r="241" spans="1:17" s="20" customFormat="1" x14ac:dyDescent="0.3">
      <c r="A241" s="12">
        <v>188</v>
      </c>
      <c r="B241" s="13" t="s">
        <v>189</v>
      </c>
      <c r="C241" s="35">
        <v>784.3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77">
        <v>784.3</v>
      </c>
      <c r="Q241" s="14">
        <f t="shared" si="42"/>
        <v>784.3</v>
      </c>
    </row>
    <row r="242" spans="1:17" x14ac:dyDescent="0.3">
      <c r="A242" s="12">
        <v>189</v>
      </c>
      <c r="B242" s="13" t="s">
        <v>190</v>
      </c>
      <c r="C242" s="32">
        <v>5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76">
        <v>5</v>
      </c>
      <c r="Q242" s="14">
        <f t="shared" si="42"/>
        <v>5</v>
      </c>
    </row>
    <row r="243" spans="1:17" x14ac:dyDescent="0.3">
      <c r="A243" s="12">
        <v>190</v>
      </c>
      <c r="B243" s="13" t="s">
        <v>232</v>
      </c>
      <c r="C243" s="32">
        <v>0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76">
        <v>0</v>
      </c>
      <c r="Q243" s="14">
        <f t="shared" si="42"/>
        <v>0</v>
      </c>
    </row>
    <row r="244" spans="1:17" x14ac:dyDescent="0.3">
      <c r="A244" s="11"/>
      <c r="B244" s="54" t="s">
        <v>233</v>
      </c>
      <c r="C244" s="37">
        <f>SUM(C245:C246)</f>
        <v>81.010000000000005</v>
      </c>
      <c r="D244" s="37">
        <f t="shared" ref="D244:P244" si="49">SUM(D245:D246)</f>
        <v>0</v>
      </c>
      <c r="E244" s="37">
        <f t="shared" si="49"/>
        <v>0</v>
      </c>
      <c r="F244" s="37">
        <f t="shared" si="49"/>
        <v>0</v>
      </c>
      <c r="G244" s="37">
        <f t="shared" si="49"/>
        <v>0</v>
      </c>
      <c r="H244" s="37">
        <f t="shared" si="49"/>
        <v>0</v>
      </c>
      <c r="I244" s="37">
        <f t="shared" si="49"/>
        <v>0</v>
      </c>
      <c r="J244" s="37">
        <f t="shared" si="49"/>
        <v>0</v>
      </c>
      <c r="K244" s="37">
        <f t="shared" si="49"/>
        <v>0</v>
      </c>
      <c r="L244" s="37">
        <f t="shared" si="49"/>
        <v>0</v>
      </c>
      <c r="M244" s="37">
        <f t="shared" si="49"/>
        <v>0</v>
      </c>
      <c r="N244" s="37">
        <f t="shared" si="49"/>
        <v>0</v>
      </c>
      <c r="O244" s="37">
        <f t="shared" si="49"/>
        <v>0</v>
      </c>
      <c r="P244" s="37">
        <f t="shared" si="49"/>
        <v>81.010000000000005</v>
      </c>
      <c r="Q244" s="14">
        <f t="shared" si="42"/>
        <v>81.010000000000005</v>
      </c>
    </row>
    <row r="245" spans="1:17" x14ac:dyDescent="0.3">
      <c r="A245" s="12">
        <v>191</v>
      </c>
      <c r="B245" s="13" t="s">
        <v>234</v>
      </c>
      <c r="C245" s="32">
        <v>80.48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5">
        <v>80.48</v>
      </c>
      <c r="Q245" s="14">
        <f t="shared" si="42"/>
        <v>80.48</v>
      </c>
    </row>
    <row r="246" spans="1:17" x14ac:dyDescent="0.3">
      <c r="A246" s="12">
        <v>192</v>
      </c>
      <c r="B246" s="13" t="s">
        <v>235</v>
      </c>
      <c r="C246" s="32">
        <v>0.53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5">
        <v>0.53</v>
      </c>
      <c r="Q246" s="14">
        <f t="shared" si="42"/>
        <v>0.53</v>
      </c>
    </row>
    <row r="247" spans="1:17" x14ac:dyDescent="0.3">
      <c r="A247" s="11"/>
      <c r="B247" s="54" t="s">
        <v>191</v>
      </c>
      <c r="C247" s="37">
        <f>SUM(C248:C250)</f>
        <v>472.3</v>
      </c>
      <c r="D247" s="37">
        <f t="shared" ref="D247:P247" si="50">SUM(D248:D250)</f>
        <v>35</v>
      </c>
      <c r="E247" s="37">
        <f t="shared" si="50"/>
        <v>35</v>
      </c>
      <c r="F247" s="37">
        <f t="shared" si="50"/>
        <v>35</v>
      </c>
      <c r="G247" s="37">
        <f t="shared" si="50"/>
        <v>35</v>
      </c>
      <c r="H247" s="37">
        <f t="shared" si="50"/>
        <v>35</v>
      </c>
      <c r="I247" s="37">
        <f t="shared" si="50"/>
        <v>35</v>
      </c>
      <c r="J247" s="37">
        <f t="shared" si="50"/>
        <v>35</v>
      </c>
      <c r="K247" s="37">
        <f t="shared" si="50"/>
        <v>35</v>
      </c>
      <c r="L247" s="37">
        <f t="shared" si="50"/>
        <v>35</v>
      </c>
      <c r="M247" s="37">
        <f t="shared" si="50"/>
        <v>35</v>
      </c>
      <c r="N247" s="37">
        <f t="shared" si="50"/>
        <v>35</v>
      </c>
      <c r="O247" s="37">
        <f t="shared" si="50"/>
        <v>35</v>
      </c>
      <c r="P247" s="37">
        <f t="shared" si="50"/>
        <v>52.3</v>
      </c>
      <c r="Q247" s="14">
        <f t="shared" si="42"/>
        <v>472.3</v>
      </c>
    </row>
    <row r="248" spans="1:17" x14ac:dyDescent="0.3">
      <c r="A248" s="12">
        <v>193</v>
      </c>
      <c r="B248" s="13" t="s">
        <v>236</v>
      </c>
      <c r="C248" s="32">
        <v>0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5"/>
      <c r="Q248" s="14">
        <f t="shared" si="42"/>
        <v>0</v>
      </c>
    </row>
    <row r="249" spans="1:17" x14ac:dyDescent="0.3">
      <c r="A249" s="12">
        <v>194.1</v>
      </c>
      <c r="B249" s="13" t="s">
        <v>192</v>
      </c>
      <c r="C249" s="46">
        <v>472.3</v>
      </c>
      <c r="D249" s="14">
        <v>35</v>
      </c>
      <c r="E249" s="14">
        <v>35</v>
      </c>
      <c r="F249" s="14">
        <v>35</v>
      </c>
      <c r="G249" s="14">
        <v>35</v>
      </c>
      <c r="H249" s="14">
        <v>35</v>
      </c>
      <c r="I249" s="14">
        <v>35</v>
      </c>
      <c r="J249" s="14">
        <v>35</v>
      </c>
      <c r="K249" s="14">
        <v>35</v>
      </c>
      <c r="L249" s="14">
        <v>35</v>
      </c>
      <c r="M249" s="14">
        <v>35</v>
      </c>
      <c r="N249" s="14">
        <v>35</v>
      </c>
      <c r="O249" s="14">
        <v>35</v>
      </c>
      <c r="P249" s="15">
        <v>52.3</v>
      </c>
      <c r="Q249" s="14">
        <f t="shared" si="42"/>
        <v>472.3</v>
      </c>
    </row>
    <row r="250" spans="1:17" x14ac:dyDescent="0.3">
      <c r="A250" s="12">
        <v>194.2</v>
      </c>
      <c r="B250" s="13" t="s">
        <v>237</v>
      </c>
      <c r="C250" s="42">
        <v>0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5"/>
      <c r="Q250" s="14"/>
    </row>
    <row r="251" spans="1:17" ht="31.2" x14ac:dyDescent="0.3">
      <c r="A251" s="11"/>
      <c r="B251" s="54" t="s">
        <v>238</v>
      </c>
      <c r="C251" s="37">
        <f>SUM(C252:C254)</f>
        <v>217.64</v>
      </c>
      <c r="D251" s="37">
        <f t="shared" ref="D251:P251" si="51">SUM(D252:D254)</f>
        <v>10</v>
      </c>
      <c r="E251" s="37">
        <f t="shared" si="51"/>
        <v>10</v>
      </c>
      <c r="F251" s="37">
        <f t="shared" si="51"/>
        <v>10</v>
      </c>
      <c r="G251" s="37">
        <f t="shared" si="51"/>
        <v>10</v>
      </c>
      <c r="H251" s="37">
        <f t="shared" si="51"/>
        <v>10</v>
      </c>
      <c r="I251" s="37">
        <f t="shared" si="51"/>
        <v>10</v>
      </c>
      <c r="J251" s="37">
        <f t="shared" si="51"/>
        <v>10</v>
      </c>
      <c r="K251" s="37">
        <f t="shared" si="51"/>
        <v>10</v>
      </c>
      <c r="L251" s="37">
        <f t="shared" si="51"/>
        <v>10</v>
      </c>
      <c r="M251" s="37">
        <f t="shared" si="51"/>
        <v>10</v>
      </c>
      <c r="N251" s="37">
        <f t="shared" si="51"/>
        <v>10</v>
      </c>
      <c r="O251" s="37">
        <f t="shared" si="51"/>
        <v>10</v>
      </c>
      <c r="P251" s="37">
        <f t="shared" si="51"/>
        <v>97.64</v>
      </c>
      <c r="Q251" s="14">
        <f t="shared" si="42"/>
        <v>217.64</v>
      </c>
    </row>
    <row r="252" spans="1:17" x14ac:dyDescent="0.3">
      <c r="A252" s="12">
        <v>195</v>
      </c>
      <c r="B252" s="13" t="s">
        <v>239</v>
      </c>
      <c r="C252" s="46">
        <v>170.6</v>
      </c>
      <c r="D252" s="14">
        <v>10</v>
      </c>
      <c r="E252" s="14">
        <v>10</v>
      </c>
      <c r="F252" s="14">
        <v>10</v>
      </c>
      <c r="G252" s="14">
        <v>10</v>
      </c>
      <c r="H252" s="14">
        <v>10</v>
      </c>
      <c r="I252" s="14">
        <v>10</v>
      </c>
      <c r="J252" s="14">
        <v>10</v>
      </c>
      <c r="K252" s="14">
        <v>10</v>
      </c>
      <c r="L252" s="14">
        <v>10</v>
      </c>
      <c r="M252" s="14">
        <v>10</v>
      </c>
      <c r="N252" s="14">
        <v>10</v>
      </c>
      <c r="O252" s="14">
        <v>10</v>
      </c>
      <c r="P252" s="15">
        <v>50.6</v>
      </c>
      <c r="Q252" s="14">
        <f t="shared" si="42"/>
        <v>170.6</v>
      </c>
    </row>
    <row r="253" spans="1:17" x14ac:dyDescent="0.3">
      <c r="A253" s="12">
        <v>196</v>
      </c>
      <c r="B253" s="13" t="s">
        <v>240</v>
      </c>
      <c r="C253" s="32">
        <v>47.04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5">
        <v>47.04</v>
      </c>
      <c r="Q253" s="14">
        <f t="shared" si="42"/>
        <v>47.04</v>
      </c>
    </row>
    <row r="254" spans="1:17" x14ac:dyDescent="0.3">
      <c r="A254" s="12">
        <v>197</v>
      </c>
      <c r="B254" s="13" t="s">
        <v>241</v>
      </c>
      <c r="C254" s="32">
        <v>0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5"/>
      <c r="Q254" s="14"/>
    </row>
    <row r="255" spans="1:17" ht="31.2" x14ac:dyDescent="0.3">
      <c r="A255" s="11">
        <v>198</v>
      </c>
      <c r="B255" s="54" t="s">
        <v>194</v>
      </c>
      <c r="C255" s="37">
        <v>0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5"/>
      <c r="Q255" s="14"/>
    </row>
    <row r="256" spans="1:17" s="20" customFormat="1" x14ac:dyDescent="0.3">
      <c r="A256" s="47">
        <v>199</v>
      </c>
      <c r="B256" s="60" t="s">
        <v>195</v>
      </c>
      <c r="C256" s="37">
        <v>653.54999999999995</v>
      </c>
      <c r="D256" s="14">
        <v>54.462499999999999</v>
      </c>
      <c r="E256" s="14">
        <v>54.462499999999999</v>
      </c>
      <c r="F256" s="14">
        <v>54.462499999999999</v>
      </c>
      <c r="G256" s="14">
        <v>54.462499999999999</v>
      </c>
      <c r="H256" s="14">
        <v>54.462499999999999</v>
      </c>
      <c r="I256" s="14">
        <v>54.462499999999999</v>
      </c>
      <c r="J256" s="14">
        <v>54.462499999999999</v>
      </c>
      <c r="K256" s="14">
        <v>54.462499999999999</v>
      </c>
      <c r="L256" s="14">
        <v>54.462499999999999</v>
      </c>
      <c r="M256" s="14">
        <v>54.462499999999999</v>
      </c>
      <c r="N256" s="14">
        <v>54.462499999999999</v>
      </c>
      <c r="O256" s="14">
        <v>54.462499999999999</v>
      </c>
      <c r="P256" s="15">
        <v>0</v>
      </c>
      <c r="Q256" s="14">
        <f t="shared" si="42"/>
        <v>653.54999999999984</v>
      </c>
    </row>
    <row r="257" spans="1:18" s="20" customFormat="1" x14ac:dyDescent="0.3">
      <c r="A257" s="47">
        <v>200</v>
      </c>
      <c r="B257" s="60" t="s">
        <v>254</v>
      </c>
      <c r="C257" s="37">
        <v>57.58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5">
        <v>57.58</v>
      </c>
      <c r="Q257" s="14">
        <f t="shared" si="42"/>
        <v>57.58</v>
      </c>
    </row>
    <row r="258" spans="1:18" s="20" customFormat="1" x14ac:dyDescent="0.3">
      <c r="A258" s="47"/>
      <c r="B258" s="60"/>
      <c r="C258" s="37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5"/>
      <c r="Q258" s="14"/>
    </row>
    <row r="259" spans="1:18" s="20" customFormat="1" x14ac:dyDescent="0.3">
      <c r="A259" s="47"/>
      <c r="B259" s="60"/>
      <c r="C259" s="37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5"/>
      <c r="Q259" s="14"/>
    </row>
    <row r="260" spans="1:18" s="20" customFormat="1" x14ac:dyDescent="0.3">
      <c r="A260" s="12"/>
      <c r="B260" s="13"/>
      <c r="C260" s="32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5"/>
      <c r="Q260" s="14"/>
    </row>
    <row r="261" spans="1:18" s="20" customFormat="1" x14ac:dyDescent="0.3">
      <c r="A261" s="12"/>
      <c r="B261" s="13"/>
      <c r="C261" s="32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5"/>
      <c r="Q261" s="14"/>
    </row>
    <row r="262" spans="1:18" x14ac:dyDescent="0.3">
      <c r="A262" s="49" t="s">
        <v>242</v>
      </c>
      <c r="B262" s="52" t="s">
        <v>243</v>
      </c>
      <c r="C262" s="21">
        <f>SUM(C263:C269)</f>
        <v>0</v>
      </c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5"/>
      <c r="Q262" s="14">
        <f t="shared" si="42"/>
        <v>0</v>
      </c>
    </row>
    <row r="263" spans="1:18" x14ac:dyDescent="0.3">
      <c r="A263" s="12">
        <v>1</v>
      </c>
      <c r="B263" s="13" t="s">
        <v>244</v>
      </c>
      <c r="C263" s="22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5"/>
      <c r="Q263" s="14">
        <f t="shared" si="42"/>
        <v>0</v>
      </c>
    </row>
    <row r="264" spans="1:18" x14ac:dyDescent="0.3">
      <c r="A264" s="12">
        <v>2</v>
      </c>
      <c r="B264" s="13" t="s">
        <v>245</v>
      </c>
      <c r="C264" s="22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5"/>
      <c r="Q264" s="14">
        <f t="shared" si="42"/>
        <v>0</v>
      </c>
    </row>
    <row r="265" spans="1:18" x14ac:dyDescent="0.3">
      <c r="A265" s="12">
        <v>3</v>
      </c>
      <c r="B265" s="13" t="s">
        <v>246</v>
      </c>
      <c r="C265" s="22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5"/>
      <c r="Q265" s="14">
        <f t="shared" si="42"/>
        <v>0</v>
      </c>
    </row>
    <row r="266" spans="1:18" x14ac:dyDescent="0.3">
      <c r="A266" s="12">
        <v>4</v>
      </c>
      <c r="B266" s="13" t="s">
        <v>247</v>
      </c>
      <c r="C266" s="22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5"/>
      <c r="Q266" s="14">
        <f t="shared" si="42"/>
        <v>0</v>
      </c>
    </row>
    <row r="267" spans="1:18" x14ac:dyDescent="0.3">
      <c r="A267" s="12">
        <v>5</v>
      </c>
      <c r="B267" s="13" t="s">
        <v>248</v>
      </c>
      <c r="C267" s="22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5"/>
      <c r="Q267" s="14">
        <f t="shared" si="42"/>
        <v>0</v>
      </c>
    </row>
    <row r="268" spans="1:18" ht="31.2" x14ac:dyDescent="0.3">
      <c r="A268" s="12">
        <v>6</v>
      </c>
      <c r="B268" s="13" t="s">
        <v>249</v>
      </c>
      <c r="C268" s="22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5"/>
      <c r="Q268" s="14">
        <f t="shared" si="42"/>
        <v>0</v>
      </c>
    </row>
    <row r="269" spans="1:18" x14ac:dyDescent="0.3">
      <c r="A269" s="12">
        <v>7</v>
      </c>
      <c r="B269" s="13" t="s">
        <v>250</v>
      </c>
      <c r="C269" s="22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5"/>
      <c r="Q269" s="14">
        <f t="shared" si="42"/>
        <v>0</v>
      </c>
    </row>
    <row r="270" spans="1:18" x14ac:dyDescent="0.3">
      <c r="A270" s="23"/>
      <c r="B270" s="24" t="s">
        <v>251</v>
      </c>
      <c r="C270" s="25">
        <f t="shared" ref="C270:P270" si="52">+C262+C5</f>
        <v>27087.573999999993</v>
      </c>
      <c r="D270" s="25">
        <f t="shared" si="52"/>
        <v>858.51292000000001</v>
      </c>
      <c r="E270" s="25">
        <f t="shared" si="52"/>
        <v>499.35341</v>
      </c>
      <c r="F270" s="25">
        <f t="shared" si="52"/>
        <v>689.26225999999997</v>
      </c>
      <c r="G270" s="25">
        <f t="shared" si="52"/>
        <v>458.43101999999999</v>
      </c>
      <c r="H270" s="25">
        <f t="shared" si="52"/>
        <v>710.95037000000002</v>
      </c>
      <c r="I270" s="25">
        <f t="shared" si="52"/>
        <v>699.45191999999997</v>
      </c>
      <c r="J270" s="25">
        <f t="shared" si="52"/>
        <v>410.91503</v>
      </c>
      <c r="K270" s="25">
        <f t="shared" si="52"/>
        <v>505.12054000000001</v>
      </c>
      <c r="L270" s="25">
        <f t="shared" si="52"/>
        <v>550.63612000000001</v>
      </c>
      <c r="M270" s="25">
        <f t="shared" si="52"/>
        <v>552.63867000000005</v>
      </c>
      <c r="N270" s="25">
        <f t="shared" si="52"/>
        <v>587.52233000000001</v>
      </c>
      <c r="O270" s="25">
        <f t="shared" si="52"/>
        <v>549.39823999999999</v>
      </c>
      <c r="P270" s="25">
        <f t="shared" si="52"/>
        <v>19958.205569999998</v>
      </c>
      <c r="Q270" s="75">
        <f t="shared" ref="Q270" si="53">SUM(D270:P270)</f>
        <v>27030.398399999998</v>
      </c>
      <c r="R270" s="72"/>
    </row>
    <row r="271" spans="1:18" ht="32.25" customHeight="1" x14ac:dyDescent="0.3"/>
    <row r="272" spans="1:18" ht="18" x14ac:dyDescent="0.35">
      <c r="A272" s="27" t="s">
        <v>252</v>
      </c>
      <c r="C272" s="28" t="s">
        <v>253</v>
      </c>
      <c r="E272" s="28"/>
      <c r="F272" s="29"/>
      <c r="Q272" s="72"/>
    </row>
  </sheetData>
  <sheetProtection algorithmName="SHA-512" hashValue="9ffog+YqoUQmGe101gSW635A4+MYz+ka+G791941oKGt+U9qWGGlO0w95lSD7HPsPo510arb1qkBcslTtxZvWw==" saltValue="+3E9RlMUgxyjPRRdY0iRtg==" spinCount="100000" sheet="1" objects="1" scenarios="1"/>
  <mergeCells count="4">
    <mergeCell ref="A1:Q1"/>
    <mergeCell ref="A3:A4"/>
    <mergeCell ref="B3:B4"/>
    <mergeCell ref="D3:P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2025-07-04T08:06:51Z</dcterms:modified>
</cp:coreProperties>
</file>